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DieseArbeitsmappe"/>
  <bookViews>
    <workbookView xWindow="15" yWindow="405" windowWidth="19320" windowHeight="8730" tabRatio="805" firstSheet="2"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SourceCategory">EUwideConstants!$A$143:$A$145</definedName>
    <definedName name="SourceCategoryCEMS">EUwideConstants!$A$148:$A$149</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pecifiedEmissions2">EUwideConstants!$A$136:$A$140</definedName>
  </definedNames>
  <calcPr calcId="125725"/>
</workbook>
</file>

<file path=xl/calcChain.xml><?xml version="1.0" encoding="utf-8"?>
<calcChain xmlns="http://schemas.openxmlformats.org/spreadsheetml/2006/main">
  <c r="C307" i="52"/>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B307"/>
  <c r="B308"/>
  <c r="B309"/>
  <c r="B310"/>
  <c r="B311"/>
  <c r="B312"/>
  <c r="B313"/>
  <c r="B314"/>
  <c r="B315"/>
  <c r="B316"/>
  <c r="B317"/>
  <c r="B318"/>
  <c r="B319"/>
  <c r="B320"/>
  <c r="B321"/>
  <c r="B322"/>
  <c r="B323"/>
  <c r="B324"/>
  <c r="B325"/>
  <c r="B326"/>
  <c r="B327"/>
  <c r="B328"/>
  <c r="B329"/>
  <c r="B330"/>
  <c r="B331"/>
  <c r="B332"/>
  <c r="B333"/>
  <c r="B334"/>
  <c r="B335"/>
  <c r="B336"/>
  <c r="B43" i="9"/>
  <c r="G54" i="50"/>
  <c r="B20" i="10"/>
  <c r="K366" i="58"/>
  <c r="K334"/>
  <c r="K302"/>
  <c r="K270"/>
  <c r="K238"/>
  <c r="K206"/>
  <c r="K174"/>
  <c r="K142"/>
  <c r="K110"/>
  <c r="AE110" s="1"/>
  <c r="BD90" s="1"/>
  <c r="K78"/>
  <c r="K365"/>
  <c r="AE365"/>
  <c r="BC346" s="1"/>
  <c r="K333"/>
  <c r="K301"/>
  <c r="AE301" s="1"/>
  <c r="BC282" s="1"/>
  <c r="K269"/>
  <c r="AE269"/>
  <c r="BC250" s="1"/>
  <c r="K237"/>
  <c r="AE237"/>
  <c r="BC218" s="1"/>
  <c r="K205"/>
  <c r="AE205"/>
  <c r="BC186"/>
  <c r="K173"/>
  <c r="AE173"/>
  <c r="BC154" s="1"/>
  <c r="K141"/>
  <c r="AE141"/>
  <c r="BC122" s="1"/>
  <c r="K109"/>
  <c r="AE109"/>
  <c r="BC90" s="1"/>
  <c r="K77"/>
  <c r="F353" i="46"/>
  <c r="R355" s="1"/>
  <c r="AE337" s="1"/>
  <c r="F318"/>
  <c r="F283"/>
  <c r="R285" s="1"/>
  <c r="AE267" s="1"/>
  <c r="F248"/>
  <c r="R250" s="1"/>
  <c r="AE232" s="1"/>
  <c r="F213"/>
  <c r="R215" s="1"/>
  <c r="AE197" s="1"/>
  <c r="F178"/>
  <c r="R180" s="1"/>
  <c r="AE162" s="1"/>
  <c r="F143"/>
  <c r="R145" s="1"/>
  <c r="AE127" s="1"/>
  <c r="F108"/>
  <c r="R110" s="1"/>
  <c r="AE92" s="1"/>
  <c r="F73"/>
  <c r="R75" s="1"/>
  <c r="AE57" s="1"/>
  <c r="F38"/>
  <c r="R40" s="1"/>
  <c r="AE22" s="1"/>
  <c r="I352" i="58"/>
  <c r="K351"/>
  <c r="I351"/>
  <c r="G351"/>
  <c r="F351"/>
  <c r="E349"/>
  <c r="I320"/>
  <c r="K319"/>
  <c r="I319"/>
  <c r="G319"/>
  <c r="F319"/>
  <c r="E317"/>
  <c r="I288"/>
  <c r="K287"/>
  <c r="I287"/>
  <c r="G287"/>
  <c r="F287"/>
  <c r="E285"/>
  <c r="I256"/>
  <c r="K255"/>
  <c r="I255"/>
  <c r="G255"/>
  <c r="F255"/>
  <c r="E253"/>
  <c r="I224"/>
  <c r="K223"/>
  <c r="I223"/>
  <c r="G223"/>
  <c r="F223"/>
  <c r="E221"/>
  <c r="I192"/>
  <c r="K191"/>
  <c r="I191"/>
  <c r="G191"/>
  <c r="F191"/>
  <c r="E189"/>
  <c r="I160"/>
  <c r="K159"/>
  <c r="I159"/>
  <c r="G159"/>
  <c r="F159"/>
  <c r="E157"/>
  <c r="I128"/>
  <c r="K127"/>
  <c r="I127"/>
  <c r="G127"/>
  <c r="F127"/>
  <c r="E125"/>
  <c r="I96"/>
  <c r="K95"/>
  <c r="I95"/>
  <c r="G95"/>
  <c r="F95"/>
  <c r="E93"/>
  <c r="E61"/>
  <c r="J346" i="46"/>
  <c r="J345"/>
  <c r="J311"/>
  <c r="J310"/>
  <c r="J276"/>
  <c r="J275"/>
  <c r="J241"/>
  <c r="J240"/>
  <c r="J206"/>
  <c r="J205"/>
  <c r="J171"/>
  <c r="J170"/>
  <c r="J136"/>
  <c r="J135"/>
  <c r="J101"/>
  <c r="J100"/>
  <c r="J66"/>
  <c r="J65"/>
  <c r="B3" i="9"/>
  <c r="A123" i="57"/>
  <c r="A126"/>
  <c r="A94"/>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3"/>
  <c r="A212"/>
  <c r="A211"/>
  <c r="A210"/>
  <c r="B209"/>
  <c r="A209"/>
  <c r="F208"/>
  <c r="E208"/>
  <c r="D208"/>
  <c r="C208"/>
  <c r="E207"/>
  <c r="C207"/>
  <c r="A205"/>
  <c r="A194"/>
  <c r="A193"/>
  <c r="A192"/>
  <c r="A191"/>
  <c r="A190"/>
  <c r="A189"/>
  <c r="A188"/>
  <c r="A187"/>
  <c r="A186"/>
  <c r="A185"/>
  <c r="A184"/>
  <c r="A183"/>
  <c r="A182"/>
  <c r="A181"/>
  <c r="A170"/>
  <c r="A169"/>
  <c r="A168"/>
  <c r="A167"/>
  <c r="A166"/>
  <c r="A165"/>
  <c r="A164"/>
  <c r="A163"/>
  <c r="A162"/>
  <c r="A151"/>
  <c r="A150"/>
  <c r="A149"/>
  <c r="A148"/>
  <c r="A147"/>
  <c r="A146"/>
  <c r="A145"/>
  <c r="A144"/>
  <c r="A143"/>
  <c r="A142"/>
  <c r="A141"/>
  <c r="A140"/>
  <c r="A129"/>
  <c r="A128"/>
  <c r="A127"/>
  <c r="A125"/>
  <c r="A124"/>
  <c r="A122"/>
  <c r="A121"/>
  <c r="A120"/>
  <c r="A119"/>
  <c r="A118"/>
  <c r="A117"/>
  <c r="A116"/>
  <c r="A115"/>
  <c r="A114"/>
  <c r="A113"/>
  <c r="A112"/>
  <c r="A111"/>
  <c r="A110"/>
  <c r="A109"/>
  <c r="A108"/>
  <c r="A107"/>
  <c r="A106"/>
  <c r="A105"/>
  <c r="A104"/>
  <c r="A103"/>
  <c r="A102"/>
  <c r="A101"/>
  <c r="A100"/>
  <c r="A99"/>
  <c r="A98"/>
  <c r="A97"/>
  <c r="A96"/>
  <c r="A95"/>
  <c r="A93"/>
  <c r="A92"/>
  <c r="A91"/>
  <c r="A90"/>
  <c r="A89"/>
  <c r="A88"/>
  <c r="A87"/>
  <c r="A86"/>
  <c r="A85"/>
  <c r="A84"/>
  <c r="A83"/>
  <c r="A82"/>
  <c r="A81"/>
  <c r="A80"/>
  <c r="A79"/>
  <c r="A78"/>
  <c r="A77"/>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DB44"/>
  <c r="DA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DB20"/>
  <c r="DA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DB18"/>
  <c r="DA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B768" i="52"/>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D699"/>
  <c r="D695"/>
  <c r="M691"/>
  <c r="L691"/>
  <c r="I691"/>
  <c r="H691"/>
  <c r="L690"/>
  <c r="I690"/>
  <c r="H690"/>
  <c r="M689"/>
  <c r="L689"/>
  <c r="I689"/>
  <c r="H689"/>
  <c r="N688"/>
  <c r="K688"/>
  <c r="G688"/>
  <c r="B688"/>
  <c r="B686"/>
  <c r="AB685"/>
  <c r="AA685"/>
  <c r="AB684"/>
  <c r="AB660"/>
  <c r="AA684"/>
  <c r="I684"/>
  <c r="H684"/>
  <c r="AK663"/>
  <c r="AB663"/>
  <c r="I663"/>
  <c r="AM640"/>
  <c r="AI640"/>
  <c r="AG640"/>
  <c r="AD640"/>
  <c r="Z640"/>
  <c r="N640"/>
  <c r="K640"/>
  <c r="G640"/>
  <c r="B640"/>
  <c r="B638"/>
  <c r="AE593"/>
  <c r="AB593"/>
  <c r="AA593"/>
  <c r="AA594"/>
  <c r="L593"/>
  <c r="I593"/>
  <c r="H593"/>
  <c r="H597"/>
  <c r="AM592"/>
  <c r="AI592"/>
  <c r="AG592"/>
  <c r="AD592"/>
  <c r="Z592"/>
  <c r="N592"/>
  <c r="K592"/>
  <c r="G592"/>
  <c r="B592"/>
  <c r="B590"/>
  <c r="AK545"/>
  <c r="AK546"/>
  <c r="AJ545"/>
  <c r="AJ560"/>
  <c r="AB545"/>
  <c r="AB577"/>
  <c r="AA545"/>
  <c r="I545"/>
  <c r="I583" s="1"/>
  <c r="H545"/>
  <c r="AM544"/>
  <c r="AI544"/>
  <c r="AG544"/>
  <c r="AD544"/>
  <c r="Z544"/>
  <c r="N544"/>
  <c r="K544"/>
  <c r="G544"/>
  <c r="B544"/>
  <c r="AM542"/>
  <c r="AM532" s="1"/>
  <c r="AE542"/>
  <c r="AD542"/>
  <c r="AC542"/>
  <c r="AC504" s="1"/>
  <c r="AA542"/>
  <c r="AA535" s="1"/>
  <c r="L542"/>
  <c r="K542"/>
  <c r="J542"/>
  <c r="H542"/>
  <c r="H535"/>
  <c r="B542"/>
  <c r="AM496"/>
  <c r="AI496"/>
  <c r="AG496"/>
  <c r="AD496"/>
  <c r="Z496"/>
  <c r="N496"/>
  <c r="K496"/>
  <c r="G496"/>
  <c r="B496"/>
  <c r="B494"/>
  <c r="K488"/>
  <c r="K487"/>
  <c r="K486"/>
  <c r="K484"/>
  <c r="K483"/>
  <c r="K482"/>
  <c r="K481"/>
  <c r="K480"/>
  <c r="K467"/>
  <c r="K465"/>
  <c r="K464"/>
  <c r="K462"/>
  <c r="K459"/>
  <c r="K457"/>
  <c r="K456"/>
  <c r="K453"/>
  <c r="K452"/>
  <c r="K451"/>
  <c r="K450"/>
  <c r="AE449"/>
  <c r="AD449"/>
  <c r="AC449"/>
  <c r="AA449"/>
  <c r="L449"/>
  <c r="K449"/>
  <c r="J449"/>
  <c r="H449"/>
  <c r="AM448"/>
  <c r="AI448"/>
  <c r="AG448"/>
  <c r="AD448"/>
  <c r="Z448"/>
  <c r="N448"/>
  <c r="K448"/>
  <c r="G448"/>
  <c r="B448"/>
  <c r="B446"/>
  <c r="AC445"/>
  <c r="AB445"/>
  <c r="AB413" s="1"/>
  <c r="AA445"/>
  <c r="AA413" s="1"/>
  <c r="L445"/>
  <c r="I445"/>
  <c r="H445"/>
  <c r="AA444"/>
  <c r="H444"/>
  <c r="AB442"/>
  <c r="AA442"/>
  <c r="AB441"/>
  <c r="AA441"/>
  <c r="I441"/>
  <c r="I442"/>
  <c r="AJ431"/>
  <c r="AB431"/>
  <c r="AA431"/>
  <c r="I431"/>
  <c r="H431"/>
  <c r="AA430"/>
  <c r="H430"/>
  <c r="AK429"/>
  <c r="AE429"/>
  <c r="AB429"/>
  <c r="AA429"/>
  <c r="I429"/>
  <c r="H429"/>
  <c r="AK428"/>
  <c r="AB428"/>
  <c r="AA428"/>
  <c r="I428"/>
  <c r="H428"/>
  <c r="AJ427"/>
  <c r="AB427"/>
  <c r="AA427"/>
  <c r="I427"/>
  <c r="H427"/>
  <c r="AE425"/>
  <c r="AB425"/>
  <c r="AA425"/>
  <c r="AA424"/>
  <c r="AJ423"/>
  <c r="AE423"/>
  <c r="AB423"/>
  <c r="AA423"/>
  <c r="I423"/>
  <c r="H423"/>
  <c r="AB422"/>
  <c r="AA422"/>
  <c r="I422"/>
  <c r="H422"/>
  <c r="AE421"/>
  <c r="AA421"/>
  <c r="H421"/>
  <c r="AB410"/>
  <c r="AA410"/>
  <c r="I410"/>
  <c r="H410"/>
  <c r="AA407"/>
  <c r="H407"/>
  <c r="AJ406"/>
  <c r="AA406"/>
  <c r="H406"/>
  <c r="AM405"/>
  <c r="AD405"/>
  <c r="AA405"/>
  <c r="K405"/>
  <c r="H405"/>
  <c r="AM401"/>
  <c r="AE401"/>
  <c r="AE417" s="1"/>
  <c r="AD401"/>
  <c r="AC401"/>
  <c r="AA401"/>
  <c r="AA417" s="1"/>
  <c r="L401"/>
  <c r="L433" s="1"/>
  <c r="K401"/>
  <c r="K417" s="1"/>
  <c r="J401"/>
  <c r="H401"/>
  <c r="H411"/>
  <c r="AM400"/>
  <c r="AI400"/>
  <c r="N400"/>
  <c r="K400"/>
  <c r="G400"/>
  <c r="B400"/>
  <c r="B398"/>
  <c r="I394"/>
  <c r="H394"/>
  <c r="E394"/>
  <c r="D394"/>
  <c r="D442"/>
  <c r="D490" s="1"/>
  <c r="D538" s="1"/>
  <c r="D586" s="1"/>
  <c r="D634" s="1"/>
  <c r="D682" s="1"/>
  <c r="I393"/>
  <c r="H393"/>
  <c r="E393"/>
  <c r="D393"/>
  <c r="D441" s="1"/>
  <c r="D489" s="1"/>
  <c r="D537" s="1"/>
  <c r="D585" s="1"/>
  <c r="D633" s="1"/>
  <c r="D681" s="1"/>
  <c r="M392"/>
  <c r="L392"/>
  <c r="I392"/>
  <c r="H392"/>
  <c r="E392"/>
  <c r="D392"/>
  <c r="D440"/>
  <c r="D488" s="1"/>
  <c r="D536" s="1"/>
  <c r="D584" s="1"/>
  <c r="D632" s="1"/>
  <c r="D680" s="1"/>
  <c r="C392"/>
  <c r="B392"/>
  <c r="M391"/>
  <c r="L391"/>
  <c r="I391"/>
  <c r="H391"/>
  <c r="E391"/>
  <c r="D391"/>
  <c r="D439" s="1"/>
  <c r="D487" s="1"/>
  <c r="D535" s="1"/>
  <c r="D583" s="1"/>
  <c r="D631" s="1"/>
  <c r="D679" s="1"/>
  <c r="C391"/>
  <c r="C439" s="1"/>
  <c r="C487" s="1"/>
  <c r="C535" s="1"/>
  <c r="B391"/>
  <c r="B439" s="1"/>
  <c r="B487" s="1"/>
  <c r="B535" s="1"/>
  <c r="B583" s="1"/>
  <c r="B631" s="1"/>
  <c r="B679" s="1"/>
  <c r="M390"/>
  <c r="L390"/>
  <c r="I390"/>
  <c r="H390"/>
  <c r="E390"/>
  <c r="D390"/>
  <c r="D438" s="1"/>
  <c r="D486" s="1"/>
  <c r="D534" s="1"/>
  <c r="D582" s="1"/>
  <c r="D630" s="1"/>
  <c r="D678" s="1"/>
  <c r="I389"/>
  <c r="H389"/>
  <c r="E389"/>
  <c r="D389"/>
  <c r="C389"/>
  <c r="C437" s="1"/>
  <c r="C485" s="1"/>
  <c r="C533" s="1"/>
  <c r="C581" s="1"/>
  <c r="C629" s="1"/>
  <c r="B389"/>
  <c r="B390" s="1"/>
  <c r="B438" s="1"/>
  <c r="B486" s="1"/>
  <c r="B534" s="1"/>
  <c r="B582" s="1"/>
  <c r="B630" s="1"/>
  <c r="B678" s="1"/>
  <c r="M388"/>
  <c r="L388"/>
  <c r="I388"/>
  <c r="H388"/>
  <c r="E388"/>
  <c r="D388"/>
  <c r="D436" s="1"/>
  <c r="D484" s="1"/>
  <c r="D532" s="1"/>
  <c r="D580" s="1"/>
  <c r="D628" s="1"/>
  <c r="D676" s="1"/>
  <c r="C388"/>
  <c r="B388"/>
  <c r="B436" s="1"/>
  <c r="B484" s="1"/>
  <c r="B532" s="1"/>
  <c r="B580" s="1"/>
  <c r="B628" s="1"/>
  <c r="B676" s="1"/>
  <c r="M387"/>
  <c r="L387"/>
  <c r="I387"/>
  <c r="H387"/>
  <c r="E387"/>
  <c r="D387"/>
  <c r="D435" s="1"/>
  <c r="D483" s="1"/>
  <c r="D531" s="1"/>
  <c r="D579" s="1"/>
  <c r="D627" s="1"/>
  <c r="D675" s="1"/>
  <c r="M386"/>
  <c r="L386"/>
  <c r="I386"/>
  <c r="H386"/>
  <c r="E386"/>
  <c r="D386"/>
  <c r="C386"/>
  <c r="B386"/>
  <c r="M385"/>
  <c r="L385"/>
  <c r="I385"/>
  <c r="H385"/>
  <c r="E385"/>
  <c r="D385"/>
  <c r="C385"/>
  <c r="C433" s="1"/>
  <c r="C481" s="1"/>
  <c r="C529" s="1"/>
  <c r="C577" s="1"/>
  <c r="C625" s="1"/>
  <c r="C673" s="1"/>
  <c r="B385"/>
  <c r="B433" s="1"/>
  <c r="B481" s="1"/>
  <c r="B529" s="1"/>
  <c r="B577" s="1"/>
  <c r="B625" s="1"/>
  <c r="B673" s="1"/>
  <c r="M384"/>
  <c r="L384"/>
  <c r="I384"/>
  <c r="H384"/>
  <c r="E384"/>
  <c r="D384"/>
  <c r="C384"/>
  <c r="C432"/>
  <c r="B384"/>
  <c r="B432"/>
  <c r="B480" s="1"/>
  <c r="B528" s="1"/>
  <c r="B576" s="1"/>
  <c r="B624" s="1"/>
  <c r="B672" s="1"/>
  <c r="I383"/>
  <c r="H383"/>
  <c r="E383"/>
  <c r="D383"/>
  <c r="C383"/>
  <c r="C431" s="1"/>
  <c r="C479" s="1"/>
  <c r="C527" s="1"/>
  <c r="C575" s="1"/>
  <c r="C623" s="1"/>
  <c r="C671" s="1"/>
  <c r="B383"/>
  <c r="B431" s="1"/>
  <c r="B479" s="1"/>
  <c r="B527" s="1"/>
  <c r="B575" s="1"/>
  <c r="B623" s="1"/>
  <c r="B671" s="1"/>
  <c r="H382"/>
  <c r="N382" s="1"/>
  <c r="E382"/>
  <c r="D382"/>
  <c r="L381"/>
  <c r="I381"/>
  <c r="H381"/>
  <c r="E381"/>
  <c r="D381"/>
  <c r="D429" s="1"/>
  <c r="D477" s="1"/>
  <c r="D525" s="1"/>
  <c r="D573" s="1"/>
  <c r="D621" s="1"/>
  <c r="D669" s="1"/>
  <c r="L380"/>
  <c r="I380"/>
  <c r="H380"/>
  <c r="E380"/>
  <c r="D380"/>
  <c r="D428" s="1"/>
  <c r="D476" s="1"/>
  <c r="D524" s="1"/>
  <c r="D572" s="1"/>
  <c r="D620" s="1"/>
  <c r="D668" s="1"/>
  <c r="C380"/>
  <c r="B380"/>
  <c r="I379"/>
  <c r="H379"/>
  <c r="E379"/>
  <c r="D379"/>
  <c r="D427"/>
  <c r="D475" s="1"/>
  <c r="D523" s="1"/>
  <c r="D571" s="1"/>
  <c r="D619" s="1"/>
  <c r="D667" s="1"/>
  <c r="C379"/>
  <c r="B379"/>
  <c r="B427" s="1"/>
  <c r="B475" s="1"/>
  <c r="B523" s="1"/>
  <c r="B571" s="1"/>
  <c r="B619" s="1"/>
  <c r="B667" s="1"/>
  <c r="I378"/>
  <c r="E378"/>
  <c r="D378"/>
  <c r="D426" s="1"/>
  <c r="D474" s="1"/>
  <c r="D522" s="1"/>
  <c r="D570" s="1"/>
  <c r="D618" s="1"/>
  <c r="D666" s="1"/>
  <c r="I377"/>
  <c r="H377"/>
  <c r="E377"/>
  <c r="D377"/>
  <c r="D425" s="1"/>
  <c r="D473" s="1"/>
  <c r="D521" s="1"/>
  <c r="D569" s="1"/>
  <c r="D617" s="1"/>
  <c r="D665" s="1"/>
  <c r="L376"/>
  <c r="I376"/>
  <c r="H376"/>
  <c r="E376"/>
  <c r="D376"/>
  <c r="D424"/>
  <c r="C376"/>
  <c r="C377"/>
  <c r="C425" s="1"/>
  <c r="B376"/>
  <c r="I375"/>
  <c r="H375"/>
  <c r="E375"/>
  <c r="D375"/>
  <c r="D423"/>
  <c r="D471" s="1"/>
  <c r="D519" s="1"/>
  <c r="D567" s="1"/>
  <c r="D615" s="1"/>
  <c r="D663" s="1"/>
  <c r="I374"/>
  <c r="E374"/>
  <c r="D374"/>
  <c r="D422" s="1"/>
  <c r="D470" s="1"/>
  <c r="D518" s="1"/>
  <c r="D566" s="1"/>
  <c r="D614" s="1"/>
  <c r="D662" s="1"/>
  <c r="I373"/>
  <c r="H373"/>
  <c r="E373"/>
  <c r="D373"/>
  <c r="D421" s="1"/>
  <c r="D469" s="1"/>
  <c r="D517" s="1"/>
  <c r="D565" s="1"/>
  <c r="D613" s="1"/>
  <c r="D661" s="1"/>
  <c r="L372"/>
  <c r="I372"/>
  <c r="H372"/>
  <c r="E372"/>
  <c r="D372"/>
  <c r="D420" s="1"/>
  <c r="D468" s="1"/>
  <c r="D516" s="1"/>
  <c r="D564" s="1"/>
  <c r="D612" s="1"/>
  <c r="D660" s="1"/>
  <c r="C372"/>
  <c r="B372"/>
  <c r="M371"/>
  <c r="L371"/>
  <c r="I371"/>
  <c r="H371"/>
  <c r="E371"/>
  <c r="D371"/>
  <c r="L370"/>
  <c r="I370"/>
  <c r="H370"/>
  <c r="E370"/>
  <c r="D370"/>
  <c r="D418" s="1"/>
  <c r="D466" s="1"/>
  <c r="D514" s="1"/>
  <c r="D562" s="1"/>
  <c r="D610" s="1"/>
  <c r="D658" s="1"/>
  <c r="M369"/>
  <c r="L369"/>
  <c r="I369"/>
  <c r="H369"/>
  <c r="E369"/>
  <c r="D369"/>
  <c r="D417" s="1"/>
  <c r="D465" s="1"/>
  <c r="D513" s="1"/>
  <c r="D561" s="1"/>
  <c r="D609" s="1"/>
  <c r="D657" s="1"/>
  <c r="C369"/>
  <c r="B369"/>
  <c r="B417" s="1"/>
  <c r="B465" s="1"/>
  <c r="B513" s="1"/>
  <c r="B561" s="1"/>
  <c r="B609" s="1"/>
  <c r="B657" s="1"/>
  <c r="M368"/>
  <c r="L368"/>
  <c r="I368"/>
  <c r="H368"/>
  <c r="E368"/>
  <c r="D368"/>
  <c r="D416" s="1"/>
  <c r="D464" s="1"/>
  <c r="D512" s="1"/>
  <c r="D560" s="1"/>
  <c r="D608" s="1"/>
  <c r="D656" s="1"/>
  <c r="I367"/>
  <c r="H367"/>
  <c r="E367"/>
  <c r="D367"/>
  <c r="C367"/>
  <c r="B367"/>
  <c r="M366"/>
  <c r="L366"/>
  <c r="I366"/>
  <c r="H366"/>
  <c r="E366"/>
  <c r="D366"/>
  <c r="D414" s="1"/>
  <c r="D462" s="1"/>
  <c r="D510" s="1"/>
  <c r="D558" s="1"/>
  <c r="D606" s="1"/>
  <c r="D654" s="1"/>
  <c r="I365"/>
  <c r="H365"/>
  <c r="E365"/>
  <c r="D365"/>
  <c r="D413" s="1"/>
  <c r="D461" s="1"/>
  <c r="D509" s="1"/>
  <c r="D557" s="1"/>
  <c r="D605" s="1"/>
  <c r="D653" s="1"/>
  <c r="L364"/>
  <c r="I364"/>
  <c r="H364"/>
  <c r="E364"/>
  <c r="D364"/>
  <c r="D412"/>
  <c r="D460" s="1"/>
  <c r="D508" s="1"/>
  <c r="D556" s="1"/>
  <c r="D604" s="1"/>
  <c r="D652" s="1"/>
  <c r="M363"/>
  <c r="L363"/>
  <c r="I363"/>
  <c r="H363"/>
  <c r="E363"/>
  <c r="D363"/>
  <c r="D411" s="1"/>
  <c r="C363"/>
  <c r="B363"/>
  <c r="I362"/>
  <c r="H362"/>
  <c r="E362"/>
  <c r="D362"/>
  <c r="D410" s="1"/>
  <c r="D458" s="1"/>
  <c r="D506" s="1"/>
  <c r="D554" s="1"/>
  <c r="D602" s="1"/>
  <c r="D650" s="1"/>
  <c r="M361"/>
  <c r="L361"/>
  <c r="I361"/>
  <c r="H361"/>
  <c r="E361"/>
  <c r="D361"/>
  <c r="D409" s="1"/>
  <c r="D457" s="1"/>
  <c r="D505" s="1"/>
  <c r="D553" s="1"/>
  <c r="D601" s="1"/>
  <c r="D649" s="1"/>
  <c r="B361"/>
  <c r="M360"/>
  <c r="L360"/>
  <c r="I360"/>
  <c r="H360"/>
  <c r="E360"/>
  <c r="D360"/>
  <c r="D408" s="1"/>
  <c r="D456" s="1"/>
  <c r="D504" s="1"/>
  <c r="D552" s="1"/>
  <c r="D600" s="1"/>
  <c r="D648" s="1"/>
  <c r="C360"/>
  <c r="C408" s="1"/>
  <c r="C456" s="1"/>
  <c r="B360"/>
  <c r="B408"/>
  <c r="B456" s="1"/>
  <c r="B504" s="1"/>
  <c r="B552" s="1"/>
  <c r="B600" s="1"/>
  <c r="B648" s="1"/>
  <c r="H359"/>
  <c r="N359" s="1"/>
  <c r="E359"/>
  <c r="D359"/>
  <c r="D407"/>
  <c r="D455" s="1"/>
  <c r="D503" s="1"/>
  <c r="D551" s="1"/>
  <c r="D599" s="1"/>
  <c r="D647" s="1"/>
  <c r="H358"/>
  <c r="N358" s="1"/>
  <c r="E358"/>
  <c r="D358"/>
  <c r="D406"/>
  <c r="D454" s="1"/>
  <c r="D502" s="1"/>
  <c r="D550" s="1"/>
  <c r="D598" s="1"/>
  <c r="D646" s="1"/>
  <c r="L357"/>
  <c r="I357"/>
  <c r="H357"/>
  <c r="E357"/>
  <c r="D357"/>
  <c r="D405" s="1"/>
  <c r="D453" s="1"/>
  <c r="D501" s="1"/>
  <c r="D549" s="1"/>
  <c r="D597" s="1"/>
  <c r="D645" s="1"/>
  <c r="M356"/>
  <c r="L356"/>
  <c r="I356"/>
  <c r="H356"/>
  <c r="E356"/>
  <c r="D356"/>
  <c r="D404" s="1"/>
  <c r="D452" s="1"/>
  <c r="D500" s="1"/>
  <c r="D548" s="1"/>
  <c r="D596" s="1"/>
  <c r="D644" s="1"/>
  <c r="M355"/>
  <c r="L355"/>
  <c r="I355"/>
  <c r="H355"/>
  <c r="E355"/>
  <c r="D355"/>
  <c r="D403" s="1"/>
  <c r="M354"/>
  <c r="L354"/>
  <c r="I354"/>
  <c r="H354"/>
  <c r="E354"/>
  <c r="D354"/>
  <c r="D402"/>
  <c r="D450" s="1"/>
  <c r="D498" s="1"/>
  <c r="D546" s="1"/>
  <c r="D594" s="1"/>
  <c r="D642" s="1"/>
  <c r="M353"/>
  <c r="L353"/>
  <c r="I353"/>
  <c r="H353"/>
  <c r="E353"/>
  <c r="D353"/>
  <c r="D401" s="1"/>
  <c r="D449" s="1"/>
  <c r="D497" s="1"/>
  <c r="D545" s="1"/>
  <c r="D593" s="1"/>
  <c r="D641" s="1"/>
  <c r="C353"/>
  <c r="C401" s="1"/>
  <c r="B353"/>
  <c r="B354" s="1"/>
  <c r="X352"/>
  <c r="N352"/>
  <c r="K352"/>
  <c r="G352"/>
  <c r="F352"/>
  <c r="F400" s="1"/>
  <c r="F448" s="1"/>
  <c r="F496" s="1"/>
  <c r="F544" s="1"/>
  <c r="F592" s="1"/>
  <c r="F640" s="1"/>
  <c r="E352"/>
  <c r="D352"/>
  <c r="C352"/>
  <c r="B352"/>
  <c r="L351"/>
  <c r="K351"/>
  <c r="J351"/>
  <c r="I351"/>
  <c r="H351"/>
  <c r="G351"/>
  <c r="B351"/>
  <c r="E309"/>
  <c r="E308"/>
  <c r="E307"/>
  <c r="B298"/>
  <c r="B295"/>
  <c r="I294"/>
  <c r="B294"/>
  <c r="I293"/>
  <c r="B293"/>
  <c r="I292"/>
  <c r="B292"/>
  <c r="B289"/>
  <c r="I280"/>
  <c r="B280"/>
  <c r="B276"/>
  <c r="B275"/>
  <c r="I273"/>
  <c r="E273"/>
  <c r="B273"/>
  <c r="A251"/>
  <c r="A248"/>
  <c r="A244"/>
  <c r="A240"/>
  <c r="A235"/>
  <c r="A232"/>
  <c r="A224"/>
  <c r="A218"/>
  <c r="A212"/>
  <c r="A208"/>
  <c r="A202"/>
  <c r="A199"/>
  <c r="A198"/>
  <c r="A197"/>
  <c r="A196"/>
  <c r="A195"/>
  <c r="A194"/>
  <c r="A193"/>
  <c r="A192"/>
  <c r="A191"/>
  <c r="A190"/>
  <c r="A189"/>
  <c r="A188"/>
  <c r="A187"/>
  <c r="A186"/>
  <c r="A184"/>
  <c r="A183"/>
  <c r="E209" i="57"/>
  <c r="A180" i="52"/>
  <c r="C209" i="57"/>
  <c r="A179" i="52"/>
  <c r="A178"/>
  <c r="A175"/>
  <c r="A174"/>
  <c r="A173"/>
  <c r="A172"/>
  <c r="A171"/>
  <c r="A169"/>
  <c r="A168"/>
  <c r="A167"/>
  <c r="A165"/>
  <c r="A164"/>
  <c r="A163"/>
  <c r="A162"/>
  <c r="A159"/>
  <c r="A158"/>
  <c r="A157"/>
  <c r="A156"/>
  <c r="A155"/>
  <c r="A154"/>
  <c r="A153"/>
  <c r="A152"/>
  <c r="A149"/>
  <c r="A148"/>
  <c r="A147"/>
  <c r="A145"/>
  <c r="A144"/>
  <c r="A143"/>
  <c r="A142"/>
  <c r="A140"/>
  <c r="A139"/>
  <c r="A138"/>
  <c r="I3" i="58" s="1"/>
  <c r="A135" i="52"/>
  <c r="A133"/>
  <c r="C301" s="1"/>
  <c r="A132"/>
  <c r="C300" s="1"/>
  <c r="A131"/>
  <c r="C299" s="1"/>
  <c r="A130"/>
  <c r="C298" s="1"/>
  <c r="A129"/>
  <c r="C297" s="1"/>
  <c r="A128"/>
  <c r="C296" s="1"/>
  <c r="A127"/>
  <c r="C295" s="1"/>
  <c r="A126"/>
  <c r="C294" s="1"/>
  <c r="A125"/>
  <c r="C293" s="1"/>
  <c r="A124"/>
  <c r="C292" s="1"/>
  <c r="A123"/>
  <c r="C291" s="1"/>
  <c r="A122"/>
  <c r="C290" s="1"/>
  <c r="A121"/>
  <c r="C289" s="1"/>
  <c r="A120"/>
  <c r="C288" s="1"/>
  <c r="A119"/>
  <c r="C287" s="1"/>
  <c r="A118"/>
  <c r="C286" s="1"/>
  <c r="A117"/>
  <c r="C285" s="1"/>
  <c r="A116"/>
  <c r="C284" s="1"/>
  <c r="A115"/>
  <c r="C283" s="1"/>
  <c r="A114"/>
  <c r="C282" s="1"/>
  <c r="A113"/>
  <c r="C281" s="1"/>
  <c r="A112"/>
  <c r="C280" s="1"/>
  <c r="A111"/>
  <c r="C279" s="1"/>
  <c r="A110"/>
  <c r="C278" s="1"/>
  <c r="A109"/>
  <c r="C277" s="1"/>
  <c r="A108"/>
  <c r="C276" s="1"/>
  <c r="A107"/>
  <c r="A106"/>
  <c r="A105"/>
  <c r="C100"/>
  <c r="B100"/>
  <c r="D99"/>
  <c r="C99"/>
  <c r="B99"/>
  <c r="F98"/>
  <c r="E98"/>
  <c r="D98"/>
  <c r="C98"/>
  <c r="B98"/>
  <c r="B97"/>
  <c r="E36" i="60" s="1"/>
  <c r="B96" i="52"/>
  <c r="Q314" i="58" s="1"/>
  <c r="D95" i="52"/>
  <c r="B94"/>
  <c r="B93"/>
  <c r="B92"/>
  <c r="B91"/>
  <c r="B90"/>
  <c r="B89"/>
  <c r="F88"/>
  <c r="E88"/>
  <c r="D88"/>
  <c r="C88"/>
  <c r="B88"/>
  <c r="AF86"/>
  <c r="AE86"/>
  <c r="AD86"/>
  <c r="AC86"/>
  <c r="AB86"/>
  <c r="AA86"/>
  <c r="Z86"/>
  <c r="Y86"/>
  <c r="X86"/>
  <c r="W86"/>
  <c r="V86"/>
  <c r="U86"/>
  <c r="T86"/>
  <c r="S86"/>
  <c r="R86"/>
  <c r="Q86"/>
  <c r="P86"/>
  <c r="O86"/>
  <c r="N86"/>
  <c r="M86"/>
  <c r="L86"/>
  <c r="K86"/>
  <c r="J86"/>
  <c r="I86"/>
  <c r="H86"/>
  <c r="G86"/>
  <c r="F86"/>
  <c r="E86"/>
  <c r="D86"/>
  <c r="C86"/>
  <c r="B86"/>
  <c r="C85"/>
  <c r="B85"/>
  <c r="B84"/>
  <c r="B83"/>
  <c r="B82"/>
  <c r="B81"/>
  <c r="B80"/>
  <c r="B79"/>
  <c r="B78"/>
  <c r="G936" i="50" s="1"/>
  <c r="B77" i="52"/>
  <c r="B76"/>
  <c r="B75"/>
  <c r="B74"/>
  <c r="B73"/>
  <c r="B72"/>
  <c r="B71"/>
  <c r="H374" s="1"/>
  <c r="B70"/>
  <c r="B69"/>
  <c r="B68"/>
  <c r="B67"/>
  <c r="B66"/>
  <c r="D176" i="57" s="1"/>
  <c r="B65" i="52"/>
  <c r="C64"/>
  <c r="B64"/>
  <c r="C63"/>
  <c r="B63"/>
  <c r="B62"/>
  <c r="B61"/>
  <c r="B60"/>
  <c r="B49"/>
  <c r="B48"/>
  <c r="B47"/>
  <c r="L74" i="46" s="1"/>
  <c r="B46" i="52"/>
  <c r="C45"/>
  <c r="B45"/>
  <c r="C44"/>
  <c r="B44"/>
  <c r="B40"/>
  <c r="B39"/>
  <c r="I190" i="57" s="1"/>
  <c r="B38" i="52"/>
  <c r="B37"/>
  <c r="A258" s="1"/>
  <c r="B32"/>
  <c r="C42" s="1"/>
  <c r="C27"/>
  <c r="B27"/>
  <c r="C26"/>
  <c r="B26"/>
  <c r="B16"/>
  <c r="AE1397" i="50" s="1"/>
  <c r="B15" i="52"/>
  <c r="AM2077" i="50" s="1"/>
  <c r="B6" i="52"/>
  <c r="BE1260" i="50" s="1"/>
  <c r="B5" i="52"/>
  <c r="BD261" i="50" s="1"/>
  <c r="B4" i="52"/>
  <c r="BC1584" i="50" s="1"/>
  <c r="D106" i="61"/>
  <c r="D93"/>
  <c r="D80"/>
  <c r="AY3"/>
  <c r="AX3"/>
  <c r="AW3"/>
  <c r="AV3"/>
  <c r="AU3"/>
  <c r="AT3"/>
  <c r="AS3"/>
  <c r="AS81" s="1"/>
  <c r="AR3"/>
  <c r="AQ3"/>
  <c r="AP3"/>
  <c r="AO3"/>
  <c r="AO94"/>
  <c r="AN3"/>
  <c r="AM3"/>
  <c r="AL3"/>
  <c r="AK3"/>
  <c r="AK81" s="1"/>
  <c r="AJ3"/>
  <c r="AI3"/>
  <c r="AH3"/>
  <c r="AG3"/>
  <c r="AF3"/>
  <c r="AE3"/>
  <c r="AD3"/>
  <c r="AC3"/>
  <c r="AB3"/>
  <c r="AA3"/>
  <c r="Z3"/>
  <c r="Y3"/>
  <c r="X3"/>
  <c r="W3"/>
  <c r="V3"/>
  <c r="U3"/>
  <c r="U107" s="1"/>
  <c r="T3"/>
  <c r="S3"/>
  <c r="R3"/>
  <c r="Q3"/>
  <c r="Q107" s="1"/>
  <c r="P3"/>
  <c r="O3"/>
  <c r="N3"/>
  <c r="M3"/>
  <c r="M94"/>
  <c r="L3"/>
  <c r="L107"/>
  <c r="K3"/>
  <c r="J3"/>
  <c r="I3"/>
  <c r="H3"/>
  <c r="G3"/>
  <c r="F3"/>
  <c r="E3"/>
  <c r="D3"/>
  <c r="D2"/>
  <c r="K63" i="60"/>
  <c r="H63"/>
  <c r="E63"/>
  <c r="E62"/>
  <c r="K50"/>
  <c r="H50"/>
  <c r="E50"/>
  <c r="E49"/>
  <c r="E47"/>
  <c r="E45"/>
  <c r="E43"/>
  <c r="L41"/>
  <c r="E40"/>
  <c r="E38"/>
  <c r="E31"/>
  <c r="E25"/>
  <c r="L23"/>
  <c r="K23"/>
  <c r="J23"/>
  <c r="I23"/>
  <c r="H23"/>
  <c r="J22"/>
  <c r="L15"/>
  <c r="K15"/>
  <c r="J15"/>
  <c r="E15"/>
  <c r="E13"/>
  <c r="E12"/>
  <c r="E10"/>
  <c r="J8"/>
  <c r="C6"/>
  <c r="I2"/>
  <c r="G2"/>
  <c r="E2"/>
  <c r="B2"/>
  <c r="B62" i="26"/>
  <c r="C60"/>
  <c r="B58"/>
  <c r="E46"/>
  <c r="C46"/>
  <c r="C44"/>
  <c r="C43"/>
  <c r="C41"/>
  <c r="E29"/>
  <c r="C29"/>
  <c r="C27"/>
  <c r="C25"/>
  <c r="K13"/>
  <c r="J13"/>
  <c r="G13"/>
  <c r="C13"/>
  <c r="C11"/>
  <c r="C10"/>
  <c r="C8"/>
  <c r="B6"/>
  <c r="L3"/>
  <c r="J3"/>
  <c r="H3"/>
  <c r="F3"/>
  <c r="D3"/>
  <c r="J2"/>
  <c r="H2"/>
  <c r="F2"/>
  <c r="D2"/>
  <c r="N52" i="62"/>
  <c r="J52"/>
  <c r="I52"/>
  <c r="H52"/>
  <c r="D52"/>
  <c r="N20"/>
  <c r="J20"/>
  <c r="I20"/>
  <c r="H20"/>
  <c r="D20"/>
  <c r="F17"/>
  <c r="F16"/>
  <c r="E16"/>
  <c r="F15"/>
  <c r="F14"/>
  <c r="E14"/>
  <c r="F13"/>
  <c r="E13"/>
  <c r="F12"/>
  <c r="E12"/>
  <c r="F11"/>
  <c r="E11"/>
  <c r="E10"/>
  <c r="D8"/>
  <c r="C6"/>
  <c r="E4"/>
  <c r="E3"/>
  <c r="K2"/>
  <c r="I2"/>
  <c r="G2"/>
  <c r="E2"/>
  <c r="B2"/>
  <c r="D375" i="58"/>
  <c r="H373"/>
  <c r="D373"/>
  <c r="D371"/>
  <c r="D369"/>
  <c r="D368"/>
  <c r="D366"/>
  <c r="D365"/>
  <c r="D363"/>
  <c r="D362"/>
  <c r="D360"/>
  <c r="D359"/>
  <c r="D358"/>
  <c r="D357"/>
  <c r="D356"/>
  <c r="D355"/>
  <c r="D354"/>
  <c r="D352"/>
  <c r="M351"/>
  <c r="M346"/>
  <c r="D343"/>
  <c r="H341"/>
  <c r="D341"/>
  <c r="D339"/>
  <c r="D337"/>
  <c r="D336"/>
  <c r="D334"/>
  <c r="D333"/>
  <c r="D331"/>
  <c r="D330"/>
  <c r="D328"/>
  <c r="D327"/>
  <c r="D326"/>
  <c r="D325"/>
  <c r="D324"/>
  <c r="D323"/>
  <c r="D322"/>
  <c r="D320"/>
  <c r="M319"/>
  <c r="M314"/>
  <c r="D311"/>
  <c r="H309"/>
  <c r="D309"/>
  <c r="D307"/>
  <c r="D305"/>
  <c r="D304"/>
  <c r="D302"/>
  <c r="D301"/>
  <c r="D299"/>
  <c r="D298"/>
  <c r="D296"/>
  <c r="D295"/>
  <c r="D294"/>
  <c r="D293"/>
  <c r="D292"/>
  <c r="D291"/>
  <c r="D290"/>
  <c r="D288"/>
  <c r="M287"/>
  <c r="M282"/>
  <c r="D279"/>
  <c r="H277"/>
  <c r="D277"/>
  <c r="D275"/>
  <c r="D273"/>
  <c r="D272"/>
  <c r="D270"/>
  <c r="D269"/>
  <c r="D267"/>
  <c r="D266"/>
  <c r="D264"/>
  <c r="D263"/>
  <c r="D262"/>
  <c r="D261"/>
  <c r="D260"/>
  <c r="D259"/>
  <c r="D258"/>
  <c r="D256"/>
  <c r="M255"/>
  <c r="M250"/>
  <c r="D247"/>
  <c r="H245"/>
  <c r="D245"/>
  <c r="D243"/>
  <c r="D241"/>
  <c r="D240"/>
  <c r="D238"/>
  <c r="D237"/>
  <c r="D235"/>
  <c r="D234"/>
  <c r="D232"/>
  <c r="D231"/>
  <c r="D230"/>
  <c r="D229"/>
  <c r="D228"/>
  <c r="D227"/>
  <c r="D226"/>
  <c r="D224"/>
  <c r="M223"/>
  <c r="M218"/>
  <c r="D215"/>
  <c r="H213"/>
  <c r="D213"/>
  <c r="D211"/>
  <c r="D209"/>
  <c r="D208"/>
  <c r="D206"/>
  <c r="D205"/>
  <c r="D203"/>
  <c r="D202"/>
  <c r="D200"/>
  <c r="D199"/>
  <c r="D198"/>
  <c r="D197"/>
  <c r="D196"/>
  <c r="D195"/>
  <c r="D194"/>
  <c r="D192"/>
  <c r="M191"/>
  <c r="M186"/>
  <c r="D183"/>
  <c r="H181"/>
  <c r="D181"/>
  <c r="D179"/>
  <c r="D177"/>
  <c r="D176"/>
  <c r="D174"/>
  <c r="D173"/>
  <c r="D171"/>
  <c r="D170"/>
  <c r="D168"/>
  <c r="D167"/>
  <c r="D166"/>
  <c r="D165"/>
  <c r="D164"/>
  <c r="D163"/>
  <c r="D162"/>
  <c r="D160"/>
  <c r="M159"/>
  <c r="M154"/>
  <c r="D151"/>
  <c r="H149"/>
  <c r="D149"/>
  <c r="D147"/>
  <c r="D145"/>
  <c r="D144"/>
  <c r="D142"/>
  <c r="D141"/>
  <c r="D139"/>
  <c r="D138"/>
  <c r="D136"/>
  <c r="D135"/>
  <c r="D134"/>
  <c r="D133"/>
  <c r="D132"/>
  <c r="D131"/>
  <c r="D130"/>
  <c r="D128"/>
  <c r="M127"/>
  <c r="M122"/>
  <c r="D119"/>
  <c r="H117"/>
  <c r="D117"/>
  <c r="D115"/>
  <c r="D113"/>
  <c r="D112"/>
  <c r="D110"/>
  <c r="D109"/>
  <c r="D107"/>
  <c r="D106"/>
  <c r="D104"/>
  <c r="D103"/>
  <c r="D102"/>
  <c r="D101"/>
  <c r="D100"/>
  <c r="D99"/>
  <c r="D98"/>
  <c r="D96"/>
  <c r="M95"/>
  <c r="M90"/>
  <c r="D87"/>
  <c r="H85"/>
  <c r="D85"/>
  <c r="D83"/>
  <c r="D81"/>
  <c r="D80"/>
  <c r="D78"/>
  <c r="D77"/>
  <c r="D75"/>
  <c r="D74"/>
  <c r="D72"/>
  <c r="D71"/>
  <c r="D70"/>
  <c r="D69"/>
  <c r="D68"/>
  <c r="D67"/>
  <c r="D66"/>
  <c r="D64"/>
  <c r="M63"/>
  <c r="K63"/>
  <c r="I63"/>
  <c r="G63"/>
  <c r="F63"/>
  <c r="M58"/>
  <c r="F55"/>
  <c r="F54"/>
  <c r="E53"/>
  <c r="F51"/>
  <c r="E51"/>
  <c r="F50"/>
  <c r="E50"/>
  <c r="F49"/>
  <c r="E49"/>
  <c r="E48"/>
  <c r="E47"/>
  <c r="E45"/>
  <c r="F43"/>
  <c r="E43"/>
  <c r="F42"/>
  <c r="E42"/>
  <c r="F41"/>
  <c r="E41"/>
  <c r="F40"/>
  <c r="E40"/>
  <c r="F39"/>
  <c r="E39"/>
  <c r="F38"/>
  <c r="E38"/>
  <c r="F37"/>
  <c r="E37"/>
  <c r="F36"/>
  <c r="E36"/>
  <c r="F35"/>
  <c r="E35"/>
  <c r="F34"/>
  <c r="E34"/>
  <c r="E33"/>
  <c r="E31"/>
  <c r="D29"/>
  <c r="L17"/>
  <c r="H17"/>
  <c r="E17"/>
  <c r="D15"/>
  <c r="D14"/>
  <c r="D13"/>
  <c r="D12"/>
  <c r="D10"/>
  <c r="C6"/>
  <c r="E4"/>
  <c r="G3"/>
  <c r="E3"/>
  <c r="K2"/>
  <c r="I2"/>
  <c r="G2"/>
  <c r="E2"/>
  <c r="B2"/>
  <c r="E52" i="28"/>
  <c r="E51"/>
  <c r="E50"/>
  <c r="E49"/>
  <c r="E31"/>
  <c r="M29"/>
  <c r="M27"/>
  <c r="M26"/>
  <c r="M24"/>
  <c r="M23"/>
  <c r="E23"/>
  <c r="F20"/>
  <c r="D20"/>
  <c r="F19"/>
  <c r="D19"/>
  <c r="F18"/>
  <c r="D18"/>
  <c r="G17"/>
  <c r="G16"/>
  <c r="F15"/>
  <c r="D15"/>
  <c r="G14"/>
  <c r="G13"/>
  <c r="F12"/>
  <c r="D12"/>
  <c r="D10"/>
  <c r="C6"/>
  <c r="E4"/>
  <c r="E3"/>
  <c r="K2"/>
  <c r="I2"/>
  <c r="G2"/>
  <c r="E2"/>
  <c r="B2"/>
  <c r="E367" i="46"/>
  <c r="E364"/>
  <c r="E363"/>
  <c r="E362"/>
  <c r="E361"/>
  <c r="E359"/>
  <c r="H357"/>
  <c r="H355"/>
  <c r="H354"/>
  <c r="E354"/>
  <c r="H353"/>
  <c r="E353"/>
  <c r="H352"/>
  <c r="H351"/>
  <c r="H349"/>
  <c r="E349"/>
  <c r="E345"/>
  <c r="E343"/>
  <c r="M341"/>
  <c r="M340"/>
  <c r="M338"/>
  <c r="M337"/>
  <c r="E332"/>
  <c r="E329"/>
  <c r="E328"/>
  <c r="E327"/>
  <c r="E326"/>
  <c r="E324"/>
  <c r="H322"/>
  <c r="H320"/>
  <c r="H319"/>
  <c r="E319"/>
  <c r="H318"/>
  <c r="E318"/>
  <c r="H317"/>
  <c r="H316"/>
  <c r="H314"/>
  <c r="E314"/>
  <c r="E310"/>
  <c r="E308"/>
  <c r="M306"/>
  <c r="M305"/>
  <c r="M303"/>
  <c r="M302"/>
  <c r="E297"/>
  <c r="E294"/>
  <c r="E293"/>
  <c r="E292"/>
  <c r="E291"/>
  <c r="E289"/>
  <c r="H287"/>
  <c r="H285"/>
  <c r="H284"/>
  <c r="E284"/>
  <c r="H283"/>
  <c r="E283"/>
  <c r="H282"/>
  <c r="H281"/>
  <c r="H279"/>
  <c r="E279"/>
  <c r="E275"/>
  <c r="E273"/>
  <c r="M271"/>
  <c r="M270"/>
  <c r="M268"/>
  <c r="M267"/>
  <c r="E262"/>
  <c r="E259"/>
  <c r="E258"/>
  <c r="E257"/>
  <c r="E256"/>
  <c r="E254"/>
  <c r="H252"/>
  <c r="H250"/>
  <c r="H249"/>
  <c r="E249"/>
  <c r="H248"/>
  <c r="E248"/>
  <c r="H247"/>
  <c r="H246"/>
  <c r="H244"/>
  <c r="E244"/>
  <c r="E240"/>
  <c r="E238"/>
  <c r="M236"/>
  <c r="M235"/>
  <c r="M233"/>
  <c r="M232"/>
  <c r="E227"/>
  <c r="E224"/>
  <c r="E223"/>
  <c r="E222"/>
  <c r="E221"/>
  <c r="E219"/>
  <c r="H217"/>
  <c r="H215"/>
  <c r="H214"/>
  <c r="E214"/>
  <c r="H213"/>
  <c r="E213"/>
  <c r="H212"/>
  <c r="H211"/>
  <c r="H209"/>
  <c r="E209"/>
  <c r="E205"/>
  <c r="E203"/>
  <c r="M201"/>
  <c r="M200"/>
  <c r="M198"/>
  <c r="M197"/>
  <c r="E192"/>
  <c r="E189"/>
  <c r="E188"/>
  <c r="E187"/>
  <c r="E186"/>
  <c r="E184"/>
  <c r="H182"/>
  <c r="H180"/>
  <c r="H179"/>
  <c r="E179"/>
  <c r="H178"/>
  <c r="E178"/>
  <c r="H177"/>
  <c r="H176"/>
  <c r="H174"/>
  <c r="E174"/>
  <c r="E170"/>
  <c r="E168"/>
  <c r="M166"/>
  <c r="M165"/>
  <c r="M163"/>
  <c r="M162"/>
  <c r="E157"/>
  <c r="E154"/>
  <c r="E153"/>
  <c r="E152"/>
  <c r="E151"/>
  <c r="E149"/>
  <c r="H147"/>
  <c r="H145"/>
  <c r="H144"/>
  <c r="E144"/>
  <c r="H143"/>
  <c r="E143"/>
  <c r="H142"/>
  <c r="H141"/>
  <c r="H139"/>
  <c r="E139"/>
  <c r="E135"/>
  <c r="E133"/>
  <c r="M131"/>
  <c r="M130"/>
  <c r="M128"/>
  <c r="M127"/>
  <c r="E122"/>
  <c r="E119"/>
  <c r="E118"/>
  <c r="E117"/>
  <c r="E116"/>
  <c r="E114"/>
  <c r="H112"/>
  <c r="H110"/>
  <c r="H109"/>
  <c r="E109"/>
  <c r="H108"/>
  <c r="E108"/>
  <c r="H107"/>
  <c r="H106"/>
  <c r="H104"/>
  <c r="E104"/>
  <c r="E100"/>
  <c r="E98"/>
  <c r="M96"/>
  <c r="M95"/>
  <c r="M93"/>
  <c r="M92"/>
  <c r="E87"/>
  <c r="E84"/>
  <c r="E83"/>
  <c r="E82"/>
  <c r="E81"/>
  <c r="E79"/>
  <c r="H77"/>
  <c r="H75"/>
  <c r="H74"/>
  <c r="E74"/>
  <c r="H73"/>
  <c r="E73"/>
  <c r="H72"/>
  <c r="H71"/>
  <c r="H69"/>
  <c r="E69"/>
  <c r="E65"/>
  <c r="E63"/>
  <c r="M61"/>
  <c r="M60"/>
  <c r="M58"/>
  <c r="M57"/>
  <c r="E52"/>
  <c r="E49"/>
  <c r="E48"/>
  <c r="E47"/>
  <c r="E46"/>
  <c r="E44"/>
  <c r="H42"/>
  <c r="H40"/>
  <c r="H39"/>
  <c r="E39"/>
  <c r="H38"/>
  <c r="E38"/>
  <c r="H37"/>
  <c r="H36"/>
  <c r="H34"/>
  <c r="E34"/>
  <c r="J31"/>
  <c r="J30"/>
  <c r="E30"/>
  <c r="E28"/>
  <c r="M26"/>
  <c r="M25"/>
  <c r="M23"/>
  <c r="M22"/>
  <c r="F19"/>
  <c r="E19"/>
  <c r="F18"/>
  <c r="F17"/>
  <c r="E17"/>
  <c r="G16"/>
  <c r="G15"/>
  <c r="F14"/>
  <c r="F13"/>
  <c r="E13"/>
  <c r="F12"/>
  <c r="E12"/>
  <c r="D10"/>
  <c r="C6"/>
  <c r="E4"/>
  <c r="E3"/>
  <c r="K2"/>
  <c r="I2"/>
  <c r="G2"/>
  <c r="E2"/>
  <c r="B2"/>
  <c r="D2084" i="50"/>
  <c r="M2082"/>
  <c r="J2080"/>
  <c r="H2080"/>
  <c r="D2080"/>
  <c r="D2078"/>
  <c r="D2077"/>
  <c r="D2076"/>
  <c r="D2075"/>
  <c r="D2074"/>
  <c r="D2073"/>
  <c r="D2072"/>
  <c r="D2070"/>
  <c r="M2069"/>
  <c r="K2069"/>
  <c r="I2069"/>
  <c r="G2069"/>
  <c r="F2069"/>
  <c r="K2067"/>
  <c r="I2067"/>
  <c r="G2067"/>
  <c r="E2067"/>
  <c r="D2067"/>
  <c r="E2065"/>
  <c r="D2065"/>
  <c r="M2061"/>
  <c r="M2060"/>
  <c r="D2057"/>
  <c r="M2055"/>
  <c r="J2053"/>
  <c r="H2053"/>
  <c r="D2053"/>
  <c r="D2051"/>
  <c r="D2050"/>
  <c r="D2049"/>
  <c r="D2048"/>
  <c r="D2047"/>
  <c r="D2046"/>
  <c r="D2045"/>
  <c r="D2043"/>
  <c r="M2042"/>
  <c r="K2042"/>
  <c r="I2042"/>
  <c r="G2042"/>
  <c r="F2042"/>
  <c r="K2040"/>
  <c r="I2040"/>
  <c r="G2040"/>
  <c r="E2040"/>
  <c r="D2040"/>
  <c r="E2038"/>
  <c r="D2038"/>
  <c r="M2034"/>
  <c r="M2033"/>
  <c r="D2030"/>
  <c r="M2028"/>
  <c r="J2026"/>
  <c r="H2026"/>
  <c r="D2026"/>
  <c r="D2024"/>
  <c r="D2023"/>
  <c r="D2022"/>
  <c r="D2021"/>
  <c r="D2020"/>
  <c r="D2019"/>
  <c r="D2018"/>
  <c r="D2016"/>
  <c r="M2015"/>
  <c r="K2015"/>
  <c r="I2015"/>
  <c r="G2015"/>
  <c r="F2015"/>
  <c r="K2013"/>
  <c r="I2013"/>
  <c r="G2013"/>
  <c r="E2013"/>
  <c r="D2013"/>
  <c r="E2011"/>
  <c r="D2011"/>
  <c r="M2007"/>
  <c r="M2006"/>
  <c r="D2003"/>
  <c r="M2001"/>
  <c r="J1999"/>
  <c r="H1999"/>
  <c r="D1999"/>
  <c r="D1997"/>
  <c r="D1996"/>
  <c r="D1995"/>
  <c r="D1994"/>
  <c r="D1993"/>
  <c r="D1992"/>
  <c r="D1991"/>
  <c r="D1989"/>
  <c r="M1988"/>
  <c r="K1988"/>
  <c r="I1988"/>
  <c r="G1988"/>
  <c r="F1988"/>
  <c r="K1986"/>
  <c r="I1986"/>
  <c r="G1986"/>
  <c r="E1986"/>
  <c r="D1986"/>
  <c r="E1984"/>
  <c r="D1984"/>
  <c r="M1980"/>
  <c r="M1979"/>
  <c r="D1976"/>
  <c r="M1974"/>
  <c r="J1972"/>
  <c r="H1972"/>
  <c r="D1972"/>
  <c r="D1970"/>
  <c r="D1969"/>
  <c r="D1968"/>
  <c r="D1967"/>
  <c r="D1966"/>
  <c r="D1965"/>
  <c r="D1964"/>
  <c r="D1962"/>
  <c r="M1961"/>
  <c r="K1961"/>
  <c r="I1961"/>
  <c r="G1961"/>
  <c r="F1961"/>
  <c r="K1959"/>
  <c r="I1959"/>
  <c r="G1959"/>
  <c r="E1959"/>
  <c r="D1959"/>
  <c r="E1957"/>
  <c r="D1957"/>
  <c r="M1953"/>
  <c r="M1952"/>
  <c r="D1949"/>
  <c r="M1947"/>
  <c r="J1945"/>
  <c r="H1945"/>
  <c r="D1945"/>
  <c r="D1943"/>
  <c r="D1942"/>
  <c r="D1941"/>
  <c r="D1940"/>
  <c r="D1939"/>
  <c r="D1938"/>
  <c r="D1937"/>
  <c r="D1935"/>
  <c r="M1934"/>
  <c r="K1934"/>
  <c r="I1934"/>
  <c r="G1934"/>
  <c r="F1934"/>
  <c r="K1932"/>
  <c r="I1932"/>
  <c r="G1932"/>
  <c r="E1932"/>
  <c r="D1932"/>
  <c r="E1930"/>
  <c r="D1930"/>
  <c r="M1926"/>
  <c r="M1925"/>
  <c r="D1922"/>
  <c r="M1920"/>
  <c r="J1918"/>
  <c r="H1918"/>
  <c r="D1918"/>
  <c r="D1916"/>
  <c r="D1915"/>
  <c r="D1914"/>
  <c r="D1913"/>
  <c r="D1912"/>
  <c r="D1911"/>
  <c r="D1910"/>
  <c r="D1908"/>
  <c r="M1907"/>
  <c r="K1907"/>
  <c r="I1907"/>
  <c r="G1907"/>
  <c r="F1907"/>
  <c r="K1905"/>
  <c r="I1905"/>
  <c r="G1905"/>
  <c r="E1905"/>
  <c r="D1905"/>
  <c r="E1903"/>
  <c r="D1903"/>
  <c r="M1899"/>
  <c r="M1898"/>
  <c r="D1895"/>
  <c r="M1893"/>
  <c r="J1891"/>
  <c r="H1891"/>
  <c r="D1891"/>
  <c r="D1889"/>
  <c r="D1888"/>
  <c r="D1887"/>
  <c r="D1886"/>
  <c r="D1885"/>
  <c r="D1884"/>
  <c r="D1883"/>
  <c r="D1881"/>
  <c r="M1880"/>
  <c r="K1880"/>
  <c r="I1880"/>
  <c r="G1880"/>
  <c r="F1880"/>
  <c r="K1878"/>
  <c r="I1878"/>
  <c r="G1878"/>
  <c r="E1878"/>
  <c r="D1878"/>
  <c r="E1876"/>
  <c r="D1876"/>
  <c r="M1872"/>
  <c r="M1871"/>
  <c r="D1868"/>
  <c r="M1866"/>
  <c r="J1864"/>
  <c r="H1864"/>
  <c r="D1864"/>
  <c r="D1862"/>
  <c r="D1861"/>
  <c r="D1860"/>
  <c r="D1859"/>
  <c r="D1858"/>
  <c r="D1857"/>
  <c r="D1856"/>
  <c r="D1854"/>
  <c r="M1853"/>
  <c r="K1853"/>
  <c r="I1853"/>
  <c r="G1853"/>
  <c r="F1853"/>
  <c r="K1851"/>
  <c r="I1851"/>
  <c r="G1851"/>
  <c r="E1851"/>
  <c r="D1851"/>
  <c r="E1849"/>
  <c r="D1849"/>
  <c r="M1845"/>
  <c r="M1844"/>
  <c r="D1841"/>
  <c r="M1839"/>
  <c r="J1837"/>
  <c r="H1837"/>
  <c r="D1837"/>
  <c r="D1835"/>
  <c r="D1834"/>
  <c r="D1833"/>
  <c r="D1832"/>
  <c r="D1831"/>
  <c r="D1830"/>
  <c r="D1829"/>
  <c r="D1827"/>
  <c r="M1826"/>
  <c r="K1826"/>
  <c r="I1826"/>
  <c r="G1826"/>
  <c r="F1826"/>
  <c r="K1824"/>
  <c r="I1824"/>
  <c r="G1824"/>
  <c r="E1824"/>
  <c r="D1824"/>
  <c r="E1822"/>
  <c r="D1822"/>
  <c r="M1818"/>
  <c r="M1817"/>
  <c r="D1814"/>
  <c r="M1812"/>
  <c r="J1810"/>
  <c r="H1810"/>
  <c r="D1810"/>
  <c r="D1808"/>
  <c r="D1807"/>
  <c r="D1806"/>
  <c r="D1805"/>
  <c r="D1804"/>
  <c r="D1803"/>
  <c r="D1802"/>
  <c r="D1800"/>
  <c r="M1799"/>
  <c r="K1799"/>
  <c r="I1799"/>
  <c r="G1799"/>
  <c r="F1799"/>
  <c r="K1797"/>
  <c r="I1797"/>
  <c r="G1797"/>
  <c r="E1797"/>
  <c r="D1797"/>
  <c r="E1795"/>
  <c r="D1795"/>
  <c r="M1791"/>
  <c r="M1790"/>
  <c r="D1787"/>
  <c r="M1785"/>
  <c r="J1783"/>
  <c r="H1783"/>
  <c r="D1783"/>
  <c r="D1781"/>
  <c r="D1780"/>
  <c r="D1779"/>
  <c r="D1778"/>
  <c r="D1777"/>
  <c r="D1776"/>
  <c r="D1775"/>
  <c r="D1773"/>
  <c r="M1772"/>
  <c r="K1772"/>
  <c r="I1772"/>
  <c r="G1772"/>
  <c r="F1772"/>
  <c r="K1770"/>
  <c r="I1770"/>
  <c r="G1770"/>
  <c r="E1770"/>
  <c r="D1770"/>
  <c r="E1768"/>
  <c r="D1768"/>
  <c r="M1764"/>
  <c r="M1763"/>
  <c r="D1760"/>
  <c r="M1758"/>
  <c r="J1756"/>
  <c r="H1756"/>
  <c r="D1756"/>
  <c r="D1754"/>
  <c r="D1753"/>
  <c r="D1752"/>
  <c r="D1751"/>
  <c r="D1750"/>
  <c r="D1749"/>
  <c r="D1748"/>
  <c r="D1746"/>
  <c r="M1745"/>
  <c r="K1745"/>
  <c r="I1745"/>
  <c r="G1745"/>
  <c r="F1745"/>
  <c r="K1743"/>
  <c r="I1743"/>
  <c r="G1743"/>
  <c r="E1743"/>
  <c r="D1743"/>
  <c r="E1741"/>
  <c r="D1741"/>
  <c r="M1737"/>
  <c r="M1736"/>
  <c r="D1733"/>
  <c r="M1731"/>
  <c r="J1729"/>
  <c r="H1729"/>
  <c r="D1729"/>
  <c r="D1727"/>
  <c r="D1726"/>
  <c r="D1725"/>
  <c r="D1724"/>
  <c r="D1723"/>
  <c r="D1722"/>
  <c r="D1721"/>
  <c r="D1719"/>
  <c r="M1718"/>
  <c r="K1718"/>
  <c r="I1718"/>
  <c r="G1718"/>
  <c r="F1718"/>
  <c r="K1716"/>
  <c r="I1716"/>
  <c r="G1716"/>
  <c r="E1716"/>
  <c r="D1716"/>
  <c r="E1714"/>
  <c r="D1714"/>
  <c r="M1710"/>
  <c r="M1709"/>
  <c r="D1706"/>
  <c r="M1704"/>
  <c r="J1702"/>
  <c r="H1702"/>
  <c r="D1702"/>
  <c r="D1700"/>
  <c r="D1699"/>
  <c r="D1698"/>
  <c r="D1697"/>
  <c r="D1696"/>
  <c r="D1695"/>
  <c r="D1694"/>
  <c r="D1692"/>
  <c r="M1691"/>
  <c r="K1691"/>
  <c r="I1691"/>
  <c r="G1691"/>
  <c r="F1691"/>
  <c r="K1689"/>
  <c r="I1689"/>
  <c r="G1689"/>
  <c r="E1689"/>
  <c r="D1689"/>
  <c r="E1687"/>
  <c r="D1687"/>
  <c r="M1683"/>
  <c r="M1682"/>
  <c r="D1679"/>
  <c r="M1677"/>
  <c r="J1675"/>
  <c r="H1675"/>
  <c r="D1675"/>
  <c r="D1673"/>
  <c r="D1672"/>
  <c r="D1671"/>
  <c r="D1670"/>
  <c r="D1669"/>
  <c r="D1668"/>
  <c r="D1667"/>
  <c r="D1665"/>
  <c r="M1664"/>
  <c r="K1664"/>
  <c r="I1664"/>
  <c r="G1664"/>
  <c r="F1664"/>
  <c r="K1662"/>
  <c r="I1662"/>
  <c r="G1662"/>
  <c r="E1662"/>
  <c r="D1662"/>
  <c r="E1660"/>
  <c r="D1660"/>
  <c r="M1656"/>
  <c r="M1655"/>
  <c r="D1652"/>
  <c r="M1650"/>
  <c r="J1648"/>
  <c r="H1648"/>
  <c r="D1648"/>
  <c r="D1646"/>
  <c r="D1645"/>
  <c r="D1644"/>
  <c r="D1643"/>
  <c r="D1642"/>
  <c r="D1641"/>
  <c r="D1640"/>
  <c r="D1638"/>
  <c r="M1637"/>
  <c r="K1637"/>
  <c r="I1637"/>
  <c r="G1637"/>
  <c r="F1637"/>
  <c r="K1635"/>
  <c r="I1635"/>
  <c r="G1635"/>
  <c r="E1635"/>
  <c r="D1635"/>
  <c r="E1633"/>
  <c r="D1633"/>
  <c r="M1629"/>
  <c r="M1628"/>
  <c r="D1625"/>
  <c r="M1623"/>
  <c r="J1621"/>
  <c r="H1621"/>
  <c r="D1621"/>
  <c r="D1619"/>
  <c r="D1618"/>
  <c r="D1617"/>
  <c r="D1616"/>
  <c r="D1615"/>
  <c r="D1614"/>
  <c r="D1613"/>
  <c r="D1611"/>
  <c r="M1610"/>
  <c r="K1610"/>
  <c r="I1610"/>
  <c r="G1610"/>
  <c r="F1610"/>
  <c r="K1608"/>
  <c r="I1608"/>
  <c r="G1608"/>
  <c r="E1608"/>
  <c r="D1608"/>
  <c r="E1606"/>
  <c r="D1606"/>
  <c r="M1602"/>
  <c r="M1601"/>
  <c r="D1598"/>
  <c r="M1596"/>
  <c r="J1594"/>
  <c r="H1594"/>
  <c r="D1594"/>
  <c r="D1592"/>
  <c r="D1591"/>
  <c r="D1590"/>
  <c r="D1589"/>
  <c r="D1588"/>
  <c r="D1587"/>
  <c r="D1586"/>
  <c r="D1584"/>
  <c r="M1583"/>
  <c r="K1583"/>
  <c r="I1583"/>
  <c r="G1583"/>
  <c r="F1583"/>
  <c r="K1581"/>
  <c r="I1581"/>
  <c r="G1581"/>
  <c r="E1581"/>
  <c r="D1581"/>
  <c r="E1579"/>
  <c r="D1579"/>
  <c r="M1575"/>
  <c r="M1574"/>
  <c r="D1571"/>
  <c r="M1569"/>
  <c r="J1567"/>
  <c r="H1567"/>
  <c r="D1567"/>
  <c r="D1565"/>
  <c r="D1564"/>
  <c r="D1563"/>
  <c r="D1562"/>
  <c r="D1561"/>
  <c r="D1560"/>
  <c r="D1559"/>
  <c r="D1557"/>
  <c r="M1556"/>
  <c r="K1556"/>
  <c r="I1556"/>
  <c r="G1556"/>
  <c r="F1556"/>
  <c r="K1554"/>
  <c r="I1554"/>
  <c r="G1554"/>
  <c r="E1554"/>
  <c r="D1554"/>
  <c r="E1552"/>
  <c r="D1552"/>
  <c r="M1548"/>
  <c r="M1547"/>
  <c r="D1544"/>
  <c r="M1542"/>
  <c r="J1540"/>
  <c r="H1540"/>
  <c r="D1540"/>
  <c r="D1538"/>
  <c r="D1537"/>
  <c r="D1536"/>
  <c r="D1535"/>
  <c r="D1534"/>
  <c r="D1533"/>
  <c r="D1532"/>
  <c r="D1530"/>
  <c r="M1529"/>
  <c r="K1529"/>
  <c r="I1529"/>
  <c r="G1529"/>
  <c r="F1529"/>
  <c r="K1527"/>
  <c r="I1527"/>
  <c r="G1527"/>
  <c r="E1527"/>
  <c r="D1527"/>
  <c r="E1525"/>
  <c r="D1525"/>
  <c r="M1521"/>
  <c r="M1520"/>
  <c r="D1517"/>
  <c r="M1515"/>
  <c r="J1513"/>
  <c r="H1513"/>
  <c r="D1513"/>
  <c r="D1511"/>
  <c r="D1510"/>
  <c r="D1509"/>
  <c r="D1508"/>
  <c r="D1507"/>
  <c r="D1506"/>
  <c r="D1505"/>
  <c r="D1503"/>
  <c r="M1502"/>
  <c r="K1502"/>
  <c r="I1502"/>
  <c r="G1502"/>
  <c r="F1502"/>
  <c r="K1500"/>
  <c r="I1500"/>
  <c r="G1500"/>
  <c r="E1500"/>
  <c r="D1500"/>
  <c r="E1498"/>
  <c r="D1498"/>
  <c r="M1494"/>
  <c r="M1493"/>
  <c r="D1490"/>
  <c r="M1488"/>
  <c r="J1486"/>
  <c r="H1486"/>
  <c r="D1486"/>
  <c r="D1484"/>
  <c r="D1483"/>
  <c r="D1482"/>
  <c r="D1481"/>
  <c r="D1480"/>
  <c r="D1479"/>
  <c r="D1478"/>
  <c r="D1476"/>
  <c r="M1475"/>
  <c r="K1475"/>
  <c r="I1475"/>
  <c r="G1475"/>
  <c r="F1475"/>
  <c r="K1473"/>
  <c r="I1473"/>
  <c r="G1473"/>
  <c r="E1473"/>
  <c r="D1473"/>
  <c r="E1471"/>
  <c r="D1471"/>
  <c r="M1467"/>
  <c r="M1466"/>
  <c r="D1463"/>
  <c r="M1461"/>
  <c r="J1459"/>
  <c r="H1459"/>
  <c r="D1459"/>
  <c r="D1457"/>
  <c r="D1456"/>
  <c r="D1455"/>
  <c r="D1454"/>
  <c r="D1453"/>
  <c r="D1452"/>
  <c r="D1451"/>
  <c r="D1449"/>
  <c r="M1448"/>
  <c r="K1448"/>
  <c r="I1448"/>
  <c r="G1448"/>
  <c r="F1448"/>
  <c r="K1446"/>
  <c r="I1446"/>
  <c r="G1446"/>
  <c r="E1446"/>
  <c r="D1446"/>
  <c r="E1444"/>
  <c r="D1444"/>
  <c r="M1440"/>
  <c r="M1439"/>
  <c r="D1436"/>
  <c r="M1434"/>
  <c r="J1432"/>
  <c r="H1432"/>
  <c r="D1432"/>
  <c r="D1430"/>
  <c r="D1429"/>
  <c r="D1428"/>
  <c r="D1427"/>
  <c r="D1426"/>
  <c r="D1425"/>
  <c r="D1424"/>
  <c r="D1422"/>
  <c r="M1421"/>
  <c r="K1421"/>
  <c r="I1421"/>
  <c r="G1421"/>
  <c r="F1421"/>
  <c r="K1419"/>
  <c r="I1419"/>
  <c r="G1419"/>
  <c r="E1419"/>
  <c r="D1419"/>
  <c r="E1417"/>
  <c r="D1417"/>
  <c r="M1413"/>
  <c r="M1412"/>
  <c r="D1409"/>
  <c r="M1407"/>
  <c r="J1405"/>
  <c r="H1405"/>
  <c r="D1405"/>
  <c r="D1403"/>
  <c r="D1402"/>
  <c r="D1401"/>
  <c r="D1400"/>
  <c r="D1399"/>
  <c r="D1398"/>
  <c r="D1397"/>
  <c r="D1395"/>
  <c r="M1394"/>
  <c r="K1394"/>
  <c r="I1394"/>
  <c r="G1394"/>
  <c r="F1394"/>
  <c r="K1392"/>
  <c r="I1392"/>
  <c r="G1392"/>
  <c r="E1392"/>
  <c r="D1392"/>
  <c r="E1390"/>
  <c r="D1390"/>
  <c r="M1386"/>
  <c r="M1385"/>
  <c r="D1382"/>
  <c r="M1380"/>
  <c r="J1378"/>
  <c r="H1378"/>
  <c r="D1378"/>
  <c r="D1376"/>
  <c r="D1375"/>
  <c r="D1374"/>
  <c r="D1373"/>
  <c r="D1372"/>
  <c r="D1371"/>
  <c r="D1370"/>
  <c r="D1368"/>
  <c r="M1367"/>
  <c r="K1367"/>
  <c r="I1367"/>
  <c r="G1367"/>
  <c r="F1367"/>
  <c r="K1365"/>
  <c r="I1365"/>
  <c r="G1365"/>
  <c r="E1365"/>
  <c r="D1365"/>
  <c r="E1363"/>
  <c r="D1363"/>
  <c r="M1359"/>
  <c r="M1358"/>
  <c r="D1355"/>
  <c r="M1353"/>
  <c r="J1351"/>
  <c r="H1351"/>
  <c r="D1351"/>
  <c r="D1349"/>
  <c r="D1348"/>
  <c r="D1347"/>
  <c r="D1346"/>
  <c r="D1345"/>
  <c r="D1344"/>
  <c r="D1343"/>
  <c r="D1341"/>
  <c r="M1340"/>
  <c r="K1340"/>
  <c r="I1340"/>
  <c r="G1340"/>
  <c r="F1340"/>
  <c r="K1338"/>
  <c r="I1338"/>
  <c r="G1338"/>
  <c r="E1338"/>
  <c r="D1338"/>
  <c r="E1336"/>
  <c r="D1336"/>
  <c r="M1332"/>
  <c r="M1331"/>
  <c r="D1328"/>
  <c r="M1326"/>
  <c r="J1324"/>
  <c r="H1324"/>
  <c r="D1324"/>
  <c r="D1322"/>
  <c r="D1321"/>
  <c r="D1320"/>
  <c r="D1319"/>
  <c r="D1318"/>
  <c r="D1317"/>
  <c r="D1316"/>
  <c r="D1314"/>
  <c r="M1313"/>
  <c r="K1313"/>
  <c r="I1313"/>
  <c r="G1313"/>
  <c r="F1313"/>
  <c r="K1311"/>
  <c r="I1311"/>
  <c r="G1311"/>
  <c r="E1311"/>
  <c r="D1311"/>
  <c r="E1309"/>
  <c r="D1309"/>
  <c r="M1305"/>
  <c r="M1304"/>
  <c r="D1301"/>
  <c r="M1299"/>
  <c r="J1297"/>
  <c r="H1297"/>
  <c r="D1297"/>
  <c r="D1295"/>
  <c r="D1294"/>
  <c r="D1293"/>
  <c r="D1292"/>
  <c r="D1291"/>
  <c r="D1290"/>
  <c r="D1289"/>
  <c r="D1287"/>
  <c r="M1286"/>
  <c r="K1286"/>
  <c r="I1286"/>
  <c r="G1286"/>
  <c r="F1286"/>
  <c r="K1284"/>
  <c r="I1284"/>
  <c r="G1284"/>
  <c r="E1284"/>
  <c r="D1284"/>
  <c r="E1282"/>
  <c r="D1282"/>
  <c r="M1278"/>
  <c r="M1277"/>
  <c r="D1274"/>
  <c r="M1272"/>
  <c r="J1270"/>
  <c r="H1270"/>
  <c r="D1270"/>
  <c r="D1268"/>
  <c r="D1267"/>
  <c r="D1266"/>
  <c r="D1265"/>
  <c r="D1264"/>
  <c r="D1263"/>
  <c r="D1262"/>
  <c r="D1260"/>
  <c r="M1259"/>
  <c r="K1259"/>
  <c r="I1259"/>
  <c r="G1259"/>
  <c r="F1259"/>
  <c r="K1257"/>
  <c r="I1257"/>
  <c r="G1257"/>
  <c r="E1257"/>
  <c r="D1257"/>
  <c r="E1255"/>
  <c r="D1255"/>
  <c r="M1251"/>
  <c r="M1250"/>
  <c r="D1247"/>
  <c r="M1245"/>
  <c r="J1243"/>
  <c r="H1243"/>
  <c r="D1243"/>
  <c r="D1241"/>
  <c r="D1240"/>
  <c r="D1239"/>
  <c r="D1238"/>
  <c r="D1237"/>
  <c r="D1236"/>
  <c r="D1235"/>
  <c r="D1233"/>
  <c r="M1232"/>
  <c r="K1232"/>
  <c r="I1232"/>
  <c r="G1232"/>
  <c r="F1232"/>
  <c r="K1230"/>
  <c r="I1230"/>
  <c r="G1230"/>
  <c r="E1230"/>
  <c r="D1230"/>
  <c r="E1228"/>
  <c r="D1228"/>
  <c r="M1224"/>
  <c r="M1223"/>
  <c r="D1220"/>
  <c r="M1218"/>
  <c r="J1216"/>
  <c r="H1216"/>
  <c r="D1216"/>
  <c r="D1214"/>
  <c r="D1213"/>
  <c r="D1212"/>
  <c r="D1211"/>
  <c r="D1210"/>
  <c r="D1209"/>
  <c r="D1208"/>
  <c r="D1206"/>
  <c r="M1205"/>
  <c r="K1205"/>
  <c r="I1205"/>
  <c r="G1205"/>
  <c r="F1205"/>
  <c r="K1203"/>
  <c r="I1203"/>
  <c r="G1203"/>
  <c r="E1203"/>
  <c r="D1203"/>
  <c r="E1201"/>
  <c r="D1201"/>
  <c r="M1197"/>
  <c r="M1196"/>
  <c r="D1193"/>
  <c r="M1191"/>
  <c r="J1189"/>
  <c r="H1189"/>
  <c r="D1189"/>
  <c r="D1187"/>
  <c r="D1186"/>
  <c r="D1185"/>
  <c r="D1184"/>
  <c r="D1183"/>
  <c r="D1182"/>
  <c r="D1181"/>
  <c r="D1179"/>
  <c r="M1178"/>
  <c r="K1178"/>
  <c r="I1178"/>
  <c r="G1178"/>
  <c r="F1178"/>
  <c r="K1176"/>
  <c r="I1176"/>
  <c r="G1176"/>
  <c r="E1176"/>
  <c r="D1176"/>
  <c r="E1174"/>
  <c r="D1174"/>
  <c r="M1170"/>
  <c r="M1169"/>
  <c r="D1166"/>
  <c r="M1164"/>
  <c r="J1162"/>
  <c r="H1162"/>
  <c r="D1162"/>
  <c r="D1160"/>
  <c r="D1159"/>
  <c r="D1158"/>
  <c r="D1157"/>
  <c r="D1156"/>
  <c r="D1155"/>
  <c r="D1154"/>
  <c r="D1152"/>
  <c r="M1151"/>
  <c r="K1151"/>
  <c r="I1151"/>
  <c r="G1151"/>
  <c r="F1151"/>
  <c r="K1149"/>
  <c r="I1149"/>
  <c r="G1149"/>
  <c r="E1149"/>
  <c r="D1149"/>
  <c r="E1147"/>
  <c r="D1147"/>
  <c r="M1143"/>
  <c r="M1142"/>
  <c r="D1139"/>
  <c r="M1137"/>
  <c r="J1135"/>
  <c r="H1135"/>
  <c r="D1135"/>
  <c r="D1133"/>
  <c r="D1132"/>
  <c r="D1131"/>
  <c r="D1130"/>
  <c r="D1129"/>
  <c r="D1128"/>
  <c r="D1127"/>
  <c r="D1125"/>
  <c r="M1124"/>
  <c r="K1124"/>
  <c r="I1124"/>
  <c r="G1124"/>
  <c r="F1124"/>
  <c r="K1122"/>
  <c r="I1122"/>
  <c r="G1122"/>
  <c r="E1122"/>
  <c r="D1122"/>
  <c r="E1120"/>
  <c r="D1120"/>
  <c r="M1116"/>
  <c r="M1115"/>
  <c r="D1112"/>
  <c r="M1110"/>
  <c r="J1108"/>
  <c r="H1108"/>
  <c r="D1108"/>
  <c r="D1106"/>
  <c r="D1105"/>
  <c r="D1104"/>
  <c r="D1103"/>
  <c r="D1102"/>
  <c r="D1101"/>
  <c r="D1100"/>
  <c r="D1098"/>
  <c r="M1097"/>
  <c r="K1097"/>
  <c r="I1097"/>
  <c r="G1097"/>
  <c r="F1097"/>
  <c r="K1095"/>
  <c r="I1095"/>
  <c r="G1095"/>
  <c r="E1095"/>
  <c r="D1095"/>
  <c r="E1093"/>
  <c r="D1093"/>
  <c r="M1089"/>
  <c r="M1088"/>
  <c r="D1085"/>
  <c r="M1083"/>
  <c r="J1081"/>
  <c r="H1081"/>
  <c r="D1081"/>
  <c r="D1079"/>
  <c r="D1078"/>
  <c r="D1077"/>
  <c r="D1076"/>
  <c r="D1075"/>
  <c r="D1074"/>
  <c r="D1073"/>
  <c r="D1071"/>
  <c r="M1070"/>
  <c r="K1070"/>
  <c r="I1070"/>
  <c r="G1070"/>
  <c r="F1070"/>
  <c r="K1068"/>
  <c r="I1068"/>
  <c r="G1068"/>
  <c r="E1068"/>
  <c r="D1068"/>
  <c r="E1066"/>
  <c r="D1066"/>
  <c r="M1062"/>
  <c r="M1061"/>
  <c r="D1058"/>
  <c r="M1056"/>
  <c r="J1054"/>
  <c r="H1054"/>
  <c r="D1054"/>
  <c r="D1052"/>
  <c r="D1051"/>
  <c r="D1050"/>
  <c r="D1049"/>
  <c r="D1048"/>
  <c r="D1047"/>
  <c r="D1046"/>
  <c r="D1044"/>
  <c r="M1043"/>
  <c r="K1043"/>
  <c r="I1043"/>
  <c r="G1043"/>
  <c r="F1043"/>
  <c r="K1041"/>
  <c r="I1041"/>
  <c r="G1041"/>
  <c r="E1041"/>
  <c r="D1041"/>
  <c r="E1039"/>
  <c r="D1039"/>
  <c r="M1035"/>
  <c r="M1034"/>
  <c r="D1031"/>
  <c r="M1029"/>
  <c r="J1027"/>
  <c r="H1027"/>
  <c r="D1027"/>
  <c r="D1025"/>
  <c r="D1024"/>
  <c r="D1023"/>
  <c r="D1022"/>
  <c r="D1021"/>
  <c r="D1020"/>
  <c r="D1019"/>
  <c r="D1017"/>
  <c r="M1016"/>
  <c r="K1016"/>
  <c r="I1016"/>
  <c r="G1016"/>
  <c r="F1016"/>
  <c r="K1014"/>
  <c r="I1014"/>
  <c r="G1014"/>
  <c r="E1014"/>
  <c r="D1014"/>
  <c r="E1012"/>
  <c r="D1012"/>
  <c r="M1008"/>
  <c r="M1007"/>
  <c r="D1004"/>
  <c r="M1002"/>
  <c r="J1000"/>
  <c r="H1000"/>
  <c r="D1000"/>
  <c r="D998"/>
  <c r="D997"/>
  <c r="D996"/>
  <c r="D995"/>
  <c r="D994"/>
  <c r="D993"/>
  <c r="D992"/>
  <c r="D990"/>
  <c r="M989"/>
  <c r="K989"/>
  <c r="I989"/>
  <c r="G989"/>
  <c r="F989"/>
  <c r="K987"/>
  <c r="I987"/>
  <c r="G987"/>
  <c r="E987"/>
  <c r="D987"/>
  <c r="E985"/>
  <c r="D985"/>
  <c r="M981"/>
  <c r="M980"/>
  <c r="D977"/>
  <c r="M975"/>
  <c r="J973"/>
  <c r="H973"/>
  <c r="D973"/>
  <c r="D971"/>
  <c r="D970"/>
  <c r="D969"/>
  <c r="D968"/>
  <c r="D967"/>
  <c r="D966"/>
  <c r="D965"/>
  <c r="D963"/>
  <c r="M962"/>
  <c r="K962"/>
  <c r="I962"/>
  <c r="G962"/>
  <c r="F962"/>
  <c r="K960"/>
  <c r="I960"/>
  <c r="G960"/>
  <c r="E960"/>
  <c r="D960"/>
  <c r="E958"/>
  <c r="D958"/>
  <c r="M954"/>
  <c r="M953"/>
  <c r="D950"/>
  <c r="M948"/>
  <c r="J946"/>
  <c r="H946"/>
  <c r="D946"/>
  <c r="D944"/>
  <c r="D943"/>
  <c r="D942"/>
  <c r="D941"/>
  <c r="D940"/>
  <c r="D939"/>
  <c r="D938"/>
  <c r="D936"/>
  <c r="M935"/>
  <c r="K935"/>
  <c r="I935"/>
  <c r="G935"/>
  <c r="F935"/>
  <c r="K933"/>
  <c r="I933"/>
  <c r="G933"/>
  <c r="E933"/>
  <c r="D933"/>
  <c r="E931"/>
  <c r="D931"/>
  <c r="M927"/>
  <c r="M926"/>
  <c r="D923"/>
  <c r="M921"/>
  <c r="J919"/>
  <c r="H919"/>
  <c r="D919"/>
  <c r="D917"/>
  <c r="D916"/>
  <c r="D915"/>
  <c r="D914"/>
  <c r="D913"/>
  <c r="D912"/>
  <c r="D911"/>
  <c r="D909"/>
  <c r="M908"/>
  <c r="K908"/>
  <c r="I908"/>
  <c r="G908"/>
  <c r="F908"/>
  <c r="K906"/>
  <c r="I906"/>
  <c r="G906"/>
  <c r="E906"/>
  <c r="D906"/>
  <c r="E904"/>
  <c r="D904"/>
  <c r="M900"/>
  <c r="M899"/>
  <c r="D896"/>
  <c r="M894"/>
  <c r="J892"/>
  <c r="H892"/>
  <c r="D892"/>
  <c r="D890"/>
  <c r="D889"/>
  <c r="D888"/>
  <c r="D887"/>
  <c r="D886"/>
  <c r="D885"/>
  <c r="D884"/>
  <c r="D882"/>
  <c r="M881"/>
  <c r="K881"/>
  <c r="I881"/>
  <c r="G881"/>
  <c r="F881"/>
  <c r="K879"/>
  <c r="I879"/>
  <c r="G879"/>
  <c r="E879"/>
  <c r="D879"/>
  <c r="E877"/>
  <c r="D877"/>
  <c r="M873"/>
  <c r="M872"/>
  <c r="D869"/>
  <c r="M867"/>
  <c r="J865"/>
  <c r="H865"/>
  <c r="D865"/>
  <c r="D863"/>
  <c r="D862"/>
  <c r="D861"/>
  <c r="D860"/>
  <c r="D859"/>
  <c r="D858"/>
  <c r="D857"/>
  <c r="D855"/>
  <c r="M854"/>
  <c r="K854"/>
  <c r="I854"/>
  <c r="G854"/>
  <c r="F854"/>
  <c r="K852"/>
  <c r="I852"/>
  <c r="G852"/>
  <c r="E852"/>
  <c r="D852"/>
  <c r="E850"/>
  <c r="D850"/>
  <c r="M846"/>
  <c r="M845"/>
  <c r="D842"/>
  <c r="M840"/>
  <c r="J838"/>
  <c r="H838"/>
  <c r="D838"/>
  <c r="D836"/>
  <c r="D835"/>
  <c r="D834"/>
  <c r="D833"/>
  <c r="D832"/>
  <c r="D831"/>
  <c r="D830"/>
  <c r="D828"/>
  <c r="M827"/>
  <c r="K827"/>
  <c r="I827"/>
  <c r="G827"/>
  <c r="F827"/>
  <c r="K825"/>
  <c r="I825"/>
  <c r="G825"/>
  <c r="E825"/>
  <c r="D825"/>
  <c r="E823"/>
  <c r="D823"/>
  <c r="M819"/>
  <c r="M818"/>
  <c r="D815"/>
  <c r="M813"/>
  <c r="J811"/>
  <c r="H811"/>
  <c r="D811"/>
  <c r="D809"/>
  <c r="D808"/>
  <c r="D807"/>
  <c r="D806"/>
  <c r="D805"/>
  <c r="D804"/>
  <c r="D803"/>
  <c r="D801"/>
  <c r="M800"/>
  <c r="K800"/>
  <c r="I800"/>
  <c r="G800"/>
  <c r="F800"/>
  <c r="K798"/>
  <c r="I798"/>
  <c r="G798"/>
  <c r="E798"/>
  <c r="D798"/>
  <c r="E796"/>
  <c r="D796"/>
  <c r="M792"/>
  <c r="M791"/>
  <c r="D788"/>
  <c r="M786"/>
  <c r="J784"/>
  <c r="H784"/>
  <c r="D784"/>
  <c r="D782"/>
  <c r="D781"/>
  <c r="D780"/>
  <c r="D779"/>
  <c r="D778"/>
  <c r="D777"/>
  <c r="D776"/>
  <c r="D774"/>
  <c r="M773"/>
  <c r="K773"/>
  <c r="I773"/>
  <c r="G773"/>
  <c r="F773"/>
  <c r="K771"/>
  <c r="I771"/>
  <c r="G771"/>
  <c r="E771"/>
  <c r="D771"/>
  <c r="E769"/>
  <c r="D769"/>
  <c r="M765"/>
  <c r="M764"/>
  <c r="D761"/>
  <c r="M759"/>
  <c r="J757"/>
  <c r="H757"/>
  <c r="D757"/>
  <c r="D755"/>
  <c r="D754"/>
  <c r="D753"/>
  <c r="D752"/>
  <c r="D751"/>
  <c r="D750"/>
  <c r="D749"/>
  <c r="D747"/>
  <c r="M746"/>
  <c r="K746"/>
  <c r="I746"/>
  <c r="G746"/>
  <c r="F746"/>
  <c r="K744"/>
  <c r="I744"/>
  <c r="G744"/>
  <c r="E744"/>
  <c r="D744"/>
  <c r="E742"/>
  <c r="D742"/>
  <c r="M738"/>
  <c r="M737"/>
  <c r="D734"/>
  <c r="M732"/>
  <c r="J730"/>
  <c r="H730"/>
  <c r="D730"/>
  <c r="D728"/>
  <c r="D727"/>
  <c r="D726"/>
  <c r="D725"/>
  <c r="D724"/>
  <c r="D723"/>
  <c r="D722"/>
  <c r="D720"/>
  <c r="M719"/>
  <c r="K719"/>
  <c r="I719"/>
  <c r="G719"/>
  <c r="F719"/>
  <c r="K717"/>
  <c r="I717"/>
  <c r="G717"/>
  <c r="E717"/>
  <c r="D717"/>
  <c r="E715"/>
  <c r="D715"/>
  <c r="M711"/>
  <c r="M710"/>
  <c r="D707"/>
  <c r="M705"/>
  <c r="J703"/>
  <c r="H703"/>
  <c r="D703"/>
  <c r="D701"/>
  <c r="D700"/>
  <c r="D699"/>
  <c r="D698"/>
  <c r="D697"/>
  <c r="D696"/>
  <c r="D695"/>
  <c r="D693"/>
  <c r="M692"/>
  <c r="K692"/>
  <c r="I692"/>
  <c r="G692"/>
  <c r="F692"/>
  <c r="K690"/>
  <c r="I690"/>
  <c r="G690"/>
  <c r="E690"/>
  <c r="D690"/>
  <c r="E688"/>
  <c r="D688"/>
  <c r="M684"/>
  <c r="M683"/>
  <c r="D680"/>
  <c r="M678"/>
  <c r="J676"/>
  <c r="H676"/>
  <c r="D676"/>
  <c r="D674"/>
  <c r="D673"/>
  <c r="D672"/>
  <c r="D671"/>
  <c r="D670"/>
  <c r="D669"/>
  <c r="D668"/>
  <c r="D666"/>
  <c r="M665"/>
  <c r="K665"/>
  <c r="I665"/>
  <c r="G665"/>
  <c r="F665"/>
  <c r="K663"/>
  <c r="I663"/>
  <c r="G663"/>
  <c r="E663"/>
  <c r="D663"/>
  <c r="E661"/>
  <c r="D661"/>
  <c r="M657"/>
  <c r="M656"/>
  <c r="D653"/>
  <c r="M651"/>
  <c r="J649"/>
  <c r="H649"/>
  <c r="D649"/>
  <c r="D647"/>
  <c r="D646"/>
  <c r="D645"/>
  <c r="D644"/>
  <c r="D643"/>
  <c r="D642"/>
  <c r="D641"/>
  <c r="D639"/>
  <c r="M638"/>
  <c r="K638"/>
  <c r="I638"/>
  <c r="G638"/>
  <c r="F638"/>
  <c r="K636"/>
  <c r="I636"/>
  <c r="G636"/>
  <c r="E636"/>
  <c r="D636"/>
  <c r="E634"/>
  <c r="D634"/>
  <c r="M630"/>
  <c r="M629"/>
  <c r="D626"/>
  <c r="M624"/>
  <c r="J622"/>
  <c r="H622"/>
  <c r="D622"/>
  <c r="D620"/>
  <c r="D619"/>
  <c r="D618"/>
  <c r="D617"/>
  <c r="D616"/>
  <c r="D615"/>
  <c r="D614"/>
  <c r="D612"/>
  <c r="M611"/>
  <c r="K611"/>
  <c r="I611"/>
  <c r="G611"/>
  <c r="F611"/>
  <c r="K609"/>
  <c r="I609"/>
  <c r="G609"/>
  <c r="E609"/>
  <c r="D609"/>
  <c r="E607"/>
  <c r="D607"/>
  <c r="M603"/>
  <c r="M602"/>
  <c r="D599"/>
  <c r="M597"/>
  <c r="J595"/>
  <c r="H595"/>
  <c r="D595"/>
  <c r="D593"/>
  <c r="D592"/>
  <c r="D591"/>
  <c r="D590"/>
  <c r="D589"/>
  <c r="D588"/>
  <c r="D587"/>
  <c r="D585"/>
  <c r="M584"/>
  <c r="K584"/>
  <c r="I584"/>
  <c r="G584"/>
  <c r="F584"/>
  <c r="K582"/>
  <c r="I582"/>
  <c r="G582"/>
  <c r="E582"/>
  <c r="D582"/>
  <c r="E580"/>
  <c r="D580"/>
  <c r="M576"/>
  <c r="M575"/>
  <c r="D572"/>
  <c r="M570"/>
  <c r="J568"/>
  <c r="H568"/>
  <c r="D568"/>
  <c r="D566"/>
  <c r="D565"/>
  <c r="D564"/>
  <c r="D563"/>
  <c r="D562"/>
  <c r="D561"/>
  <c r="D560"/>
  <c r="D558"/>
  <c r="M557"/>
  <c r="K557"/>
  <c r="I557"/>
  <c r="G557"/>
  <c r="F557"/>
  <c r="K555"/>
  <c r="I555"/>
  <c r="G555"/>
  <c r="E555"/>
  <c r="D555"/>
  <c r="E553"/>
  <c r="D553"/>
  <c r="M549"/>
  <c r="M548"/>
  <c r="D545"/>
  <c r="M543"/>
  <c r="J541"/>
  <c r="H541"/>
  <c r="D541"/>
  <c r="D539"/>
  <c r="D538"/>
  <c r="D537"/>
  <c r="D536"/>
  <c r="D535"/>
  <c r="D534"/>
  <c r="D533"/>
  <c r="D531"/>
  <c r="M530"/>
  <c r="K530"/>
  <c r="I530"/>
  <c r="G530"/>
  <c r="F530"/>
  <c r="K528"/>
  <c r="I528"/>
  <c r="G528"/>
  <c r="E528"/>
  <c r="D528"/>
  <c r="E526"/>
  <c r="D526"/>
  <c r="M522"/>
  <c r="M521"/>
  <c r="D518"/>
  <c r="M516"/>
  <c r="J514"/>
  <c r="H514"/>
  <c r="D514"/>
  <c r="D512"/>
  <c r="D511"/>
  <c r="D510"/>
  <c r="D509"/>
  <c r="D508"/>
  <c r="D507"/>
  <c r="D506"/>
  <c r="D504"/>
  <c r="M503"/>
  <c r="K503"/>
  <c r="I503"/>
  <c r="G503"/>
  <c r="F503"/>
  <c r="K501"/>
  <c r="I501"/>
  <c r="G501"/>
  <c r="E501"/>
  <c r="D501"/>
  <c r="E499"/>
  <c r="D499"/>
  <c r="M495"/>
  <c r="M494"/>
  <c r="D491"/>
  <c r="M489"/>
  <c r="J487"/>
  <c r="H487"/>
  <c r="D487"/>
  <c r="D485"/>
  <c r="D484"/>
  <c r="D483"/>
  <c r="D482"/>
  <c r="D481"/>
  <c r="D480"/>
  <c r="D479"/>
  <c r="D477"/>
  <c r="M476"/>
  <c r="K476"/>
  <c r="I476"/>
  <c r="G476"/>
  <c r="F476"/>
  <c r="K474"/>
  <c r="I474"/>
  <c r="G474"/>
  <c r="E474"/>
  <c r="D474"/>
  <c r="E472"/>
  <c r="D472"/>
  <c r="M468"/>
  <c r="M467"/>
  <c r="D464"/>
  <c r="M462"/>
  <c r="J460"/>
  <c r="H460"/>
  <c r="D460"/>
  <c r="D458"/>
  <c r="D457"/>
  <c r="D456"/>
  <c r="D455"/>
  <c r="D454"/>
  <c r="D453"/>
  <c r="D452"/>
  <c r="D450"/>
  <c r="M449"/>
  <c r="K449"/>
  <c r="I449"/>
  <c r="G449"/>
  <c r="F449"/>
  <c r="K447"/>
  <c r="I447"/>
  <c r="G447"/>
  <c r="E447"/>
  <c r="D447"/>
  <c r="E445"/>
  <c r="D445"/>
  <c r="M441"/>
  <c r="M440"/>
  <c r="D437"/>
  <c r="M435"/>
  <c r="J433"/>
  <c r="H433"/>
  <c r="D433"/>
  <c r="D431"/>
  <c r="D430"/>
  <c r="D429"/>
  <c r="D428"/>
  <c r="D427"/>
  <c r="D426"/>
  <c r="D425"/>
  <c r="D423"/>
  <c r="M422"/>
  <c r="K422"/>
  <c r="I422"/>
  <c r="G422"/>
  <c r="F422"/>
  <c r="K420"/>
  <c r="I420"/>
  <c r="G420"/>
  <c r="E420"/>
  <c r="D420"/>
  <c r="E418"/>
  <c r="D418"/>
  <c r="M414"/>
  <c r="M413"/>
  <c r="D410"/>
  <c r="M408"/>
  <c r="J406"/>
  <c r="H406"/>
  <c r="D406"/>
  <c r="D404"/>
  <c r="D403"/>
  <c r="D402"/>
  <c r="D401"/>
  <c r="D400"/>
  <c r="D399"/>
  <c r="D398"/>
  <c r="D396"/>
  <c r="M395"/>
  <c r="K395"/>
  <c r="I395"/>
  <c r="G395"/>
  <c r="F395"/>
  <c r="K393"/>
  <c r="I393"/>
  <c r="G393"/>
  <c r="E393"/>
  <c r="D393"/>
  <c r="E391"/>
  <c r="D391"/>
  <c r="M387"/>
  <c r="M386"/>
  <c r="D383"/>
  <c r="M381"/>
  <c r="J379"/>
  <c r="H379"/>
  <c r="D379"/>
  <c r="D377"/>
  <c r="D376"/>
  <c r="D375"/>
  <c r="D374"/>
  <c r="D373"/>
  <c r="D372"/>
  <c r="D371"/>
  <c r="D369"/>
  <c r="M368"/>
  <c r="K368"/>
  <c r="I368"/>
  <c r="G368"/>
  <c r="F368"/>
  <c r="K366"/>
  <c r="I366"/>
  <c r="G366"/>
  <c r="E366"/>
  <c r="D366"/>
  <c r="E364"/>
  <c r="D364"/>
  <c r="M360"/>
  <c r="M359"/>
  <c r="D356"/>
  <c r="M354"/>
  <c r="J352"/>
  <c r="H352"/>
  <c r="D352"/>
  <c r="D350"/>
  <c r="D349"/>
  <c r="D348"/>
  <c r="D347"/>
  <c r="D346"/>
  <c r="D345"/>
  <c r="D344"/>
  <c r="D342"/>
  <c r="M341"/>
  <c r="K341"/>
  <c r="I341"/>
  <c r="G341"/>
  <c r="F341"/>
  <c r="K339"/>
  <c r="I339"/>
  <c r="G339"/>
  <c r="E339"/>
  <c r="D339"/>
  <c r="E337"/>
  <c r="D337"/>
  <c r="M333"/>
  <c r="M332"/>
  <c r="D329"/>
  <c r="M327"/>
  <c r="J325"/>
  <c r="H325"/>
  <c r="D325"/>
  <c r="D323"/>
  <c r="D322"/>
  <c r="D321"/>
  <c r="D320"/>
  <c r="D319"/>
  <c r="D318"/>
  <c r="D317"/>
  <c r="D315"/>
  <c r="M314"/>
  <c r="K314"/>
  <c r="I314"/>
  <c r="G314"/>
  <c r="F314"/>
  <c r="K312"/>
  <c r="I312"/>
  <c r="G312"/>
  <c r="E312"/>
  <c r="D312"/>
  <c r="E310"/>
  <c r="D310"/>
  <c r="M306"/>
  <c r="M305"/>
  <c r="D302"/>
  <c r="M300"/>
  <c r="J298"/>
  <c r="H298"/>
  <c r="D298"/>
  <c r="D296"/>
  <c r="D295"/>
  <c r="D294"/>
  <c r="D293"/>
  <c r="D292"/>
  <c r="D291"/>
  <c r="D290"/>
  <c r="D288"/>
  <c r="M287"/>
  <c r="K287"/>
  <c r="I287"/>
  <c r="G287"/>
  <c r="F287"/>
  <c r="K285"/>
  <c r="I285"/>
  <c r="G285"/>
  <c r="E285"/>
  <c r="D285"/>
  <c r="E283"/>
  <c r="D283"/>
  <c r="M279"/>
  <c r="M278"/>
  <c r="D275"/>
  <c r="M273"/>
  <c r="J271"/>
  <c r="H271"/>
  <c r="D271"/>
  <c r="D269"/>
  <c r="D268"/>
  <c r="D267"/>
  <c r="D266"/>
  <c r="D265"/>
  <c r="D264"/>
  <c r="D263"/>
  <c r="D261"/>
  <c r="M260"/>
  <c r="K260"/>
  <c r="I260"/>
  <c r="G260"/>
  <c r="F260"/>
  <c r="K258"/>
  <c r="I258"/>
  <c r="G258"/>
  <c r="E258"/>
  <c r="D258"/>
  <c r="E256"/>
  <c r="D256"/>
  <c r="M252"/>
  <c r="M251"/>
  <c r="D248"/>
  <c r="M246"/>
  <c r="J244"/>
  <c r="H244"/>
  <c r="D244"/>
  <c r="D242"/>
  <c r="D241"/>
  <c r="D240"/>
  <c r="D239"/>
  <c r="D238"/>
  <c r="D237"/>
  <c r="D236"/>
  <c r="D234"/>
  <c r="M233"/>
  <c r="K233"/>
  <c r="I233"/>
  <c r="G233"/>
  <c r="F233"/>
  <c r="K231"/>
  <c r="I231"/>
  <c r="G231"/>
  <c r="E231"/>
  <c r="D231"/>
  <c r="E229"/>
  <c r="D229"/>
  <c r="M225"/>
  <c r="M224"/>
  <c r="D221"/>
  <c r="M219"/>
  <c r="J217"/>
  <c r="H217"/>
  <c r="D217"/>
  <c r="D215"/>
  <c r="D214"/>
  <c r="D213"/>
  <c r="D212"/>
  <c r="D211"/>
  <c r="D210"/>
  <c r="D209"/>
  <c r="D207"/>
  <c r="M206"/>
  <c r="K206"/>
  <c r="I206"/>
  <c r="G206"/>
  <c r="F206"/>
  <c r="K204"/>
  <c r="I204"/>
  <c r="G204"/>
  <c r="E204"/>
  <c r="D204"/>
  <c r="E202"/>
  <c r="D202"/>
  <c r="M198"/>
  <c r="M197"/>
  <c r="D194"/>
  <c r="M192"/>
  <c r="J190"/>
  <c r="H190"/>
  <c r="D190"/>
  <c r="D188"/>
  <c r="D187"/>
  <c r="D186"/>
  <c r="D185"/>
  <c r="D184"/>
  <c r="D183"/>
  <c r="D182"/>
  <c r="D180"/>
  <c r="M179"/>
  <c r="K179"/>
  <c r="I179"/>
  <c r="G179"/>
  <c r="F179"/>
  <c r="K177"/>
  <c r="I177"/>
  <c r="G177"/>
  <c r="E177"/>
  <c r="D177"/>
  <c r="E175"/>
  <c r="D175"/>
  <c r="M171"/>
  <c r="M170"/>
  <c r="D167"/>
  <c r="M165"/>
  <c r="J163"/>
  <c r="H163"/>
  <c r="D163"/>
  <c r="D161"/>
  <c r="D160"/>
  <c r="D159"/>
  <c r="D158"/>
  <c r="D157"/>
  <c r="D156"/>
  <c r="D155"/>
  <c r="D153"/>
  <c r="M152"/>
  <c r="K152"/>
  <c r="I152"/>
  <c r="G152"/>
  <c r="F152"/>
  <c r="K150"/>
  <c r="I150"/>
  <c r="G150"/>
  <c r="E150"/>
  <c r="D150"/>
  <c r="E148"/>
  <c r="D148"/>
  <c r="M144"/>
  <c r="M143"/>
  <c r="D140"/>
  <c r="M138"/>
  <c r="J136"/>
  <c r="H136"/>
  <c r="D136"/>
  <c r="D134"/>
  <c r="D133"/>
  <c r="D132"/>
  <c r="D131"/>
  <c r="D130"/>
  <c r="D129"/>
  <c r="D128"/>
  <c r="D126"/>
  <c r="M125"/>
  <c r="K125"/>
  <c r="I125"/>
  <c r="G125"/>
  <c r="F125"/>
  <c r="K123"/>
  <c r="I123"/>
  <c r="G123"/>
  <c r="E123"/>
  <c r="D123"/>
  <c r="E121"/>
  <c r="D121"/>
  <c r="M117"/>
  <c r="M116"/>
  <c r="D113"/>
  <c r="M111"/>
  <c r="J109"/>
  <c r="H109"/>
  <c r="D109"/>
  <c r="D107"/>
  <c r="D106"/>
  <c r="D105"/>
  <c r="D104"/>
  <c r="D103"/>
  <c r="D102"/>
  <c r="D101"/>
  <c r="D99"/>
  <c r="M98"/>
  <c r="K98"/>
  <c r="I98"/>
  <c r="G98"/>
  <c r="F98"/>
  <c r="K96"/>
  <c r="I96"/>
  <c r="G96"/>
  <c r="E96"/>
  <c r="D96"/>
  <c r="E94"/>
  <c r="D94"/>
  <c r="M90"/>
  <c r="M89"/>
  <c r="D86"/>
  <c r="M84"/>
  <c r="J82"/>
  <c r="H82"/>
  <c r="D82"/>
  <c r="D80"/>
  <c r="D79"/>
  <c r="D78"/>
  <c r="D77"/>
  <c r="D76"/>
  <c r="D75"/>
  <c r="D74"/>
  <c r="D72"/>
  <c r="M71"/>
  <c r="K71"/>
  <c r="I71"/>
  <c r="G71"/>
  <c r="F71"/>
  <c r="K69"/>
  <c r="I69"/>
  <c r="G69"/>
  <c r="E69"/>
  <c r="D69"/>
  <c r="E67"/>
  <c r="D67"/>
  <c r="M63"/>
  <c r="M62"/>
  <c r="F59"/>
  <c r="F58"/>
  <c r="E57"/>
  <c r="F55"/>
  <c r="E55"/>
  <c r="G53"/>
  <c r="G52"/>
  <c r="F51"/>
  <c r="E51"/>
  <c r="F50"/>
  <c r="E50"/>
  <c r="F49"/>
  <c r="E49"/>
  <c r="G48"/>
  <c r="G47"/>
  <c r="F46"/>
  <c r="E46"/>
  <c r="F45"/>
  <c r="F44"/>
  <c r="E44"/>
  <c r="F43"/>
  <c r="E43"/>
  <c r="E42"/>
  <c r="E41"/>
  <c r="E40"/>
  <c r="E38"/>
  <c r="F36"/>
  <c r="F35"/>
  <c r="F34"/>
  <c r="F33"/>
  <c r="E33"/>
  <c r="F32"/>
  <c r="F31"/>
  <c r="G30"/>
  <c r="G29"/>
  <c r="F28"/>
  <c r="F27"/>
  <c r="E27"/>
  <c r="F26"/>
  <c r="E26"/>
  <c r="F25"/>
  <c r="E25"/>
  <c r="F24"/>
  <c r="E24"/>
  <c r="F23"/>
  <c r="E23"/>
  <c r="F22"/>
  <c r="E22"/>
  <c r="G21"/>
  <c r="F21"/>
  <c r="G20"/>
  <c r="F20"/>
  <c r="G19"/>
  <c r="F19"/>
  <c r="G18"/>
  <c r="F18"/>
  <c r="F17"/>
  <c r="F16"/>
  <c r="F15"/>
  <c r="E15"/>
  <c r="E14"/>
  <c r="E12"/>
  <c r="D10"/>
  <c r="C6"/>
  <c r="E4"/>
  <c r="E3"/>
  <c r="K2"/>
  <c r="I2"/>
  <c r="G2"/>
  <c r="E2"/>
  <c r="B2"/>
  <c r="F155" i="38"/>
  <c r="E155"/>
  <c r="M154"/>
  <c r="F154"/>
  <c r="E154"/>
  <c r="E152"/>
  <c r="E151"/>
  <c r="E150"/>
  <c r="E147"/>
  <c r="I70"/>
  <c r="E70"/>
  <c r="L69"/>
  <c r="I69"/>
  <c r="E69"/>
  <c r="I68"/>
  <c r="E68"/>
  <c r="I67"/>
  <c r="E67"/>
  <c r="N66"/>
  <c r="L66"/>
  <c r="I66"/>
  <c r="E66"/>
  <c r="D66"/>
  <c r="E64"/>
  <c r="F63"/>
  <c r="F62"/>
  <c r="F61"/>
  <c r="F60"/>
  <c r="F59"/>
  <c r="F58"/>
  <c r="F57"/>
  <c r="F56"/>
  <c r="F55"/>
  <c r="F54"/>
  <c r="E53"/>
  <c r="E52"/>
  <c r="E49"/>
  <c r="E47"/>
  <c r="E46"/>
  <c r="E45"/>
  <c r="E44"/>
  <c r="E43"/>
  <c r="E42"/>
  <c r="E40"/>
  <c r="E39"/>
  <c r="E38"/>
  <c r="E37"/>
  <c r="E36"/>
  <c r="E34"/>
  <c r="D32"/>
  <c r="M25"/>
  <c r="H25"/>
  <c r="E25"/>
  <c r="M24"/>
  <c r="J24"/>
  <c r="H24"/>
  <c r="E24"/>
  <c r="N23"/>
  <c r="M23"/>
  <c r="L23"/>
  <c r="J23"/>
  <c r="H23"/>
  <c r="E23"/>
  <c r="D23"/>
  <c r="E21"/>
  <c r="E20"/>
  <c r="E18"/>
  <c r="E17"/>
  <c r="E16"/>
  <c r="E15"/>
  <c r="F14"/>
  <c r="F13"/>
  <c r="E12"/>
  <c r="E11"/>
  <c r="E10"/>
  <c r="D8"/>
  <c r="C6"/>
  <c r="G4"/>
  <c r="E4"/>
  <c r="K3"/>
  <c r="I3"/>
  <c r="G3"/>
  <c r="E3"/>
  <c r="K2"/>
  <c r="I2"/>
  <c r="G2"/>
  <c r="E2"/>
  <c r="B2"/>
  <c r="E131" i="37"/>
  <c r="E130"/>
  <c r="E129"/>
  <c r="E128"/>
  <c r="E127"/>
  <c r="E126"/>
  <c r="E124"/>
  <c r="E123"/>
  <c r="E122"/>
  <c r="E121"/>
  <c r="E120"/>
  <c r="E119"/>
  <c r="E117"/>
  <c r="E116"/>
  <c r="E115"/>
  <c r="E114"/>
  <c r="E113"/>
  <c r="E112"/>
  <c r="D110"/>
  <c r="E108"/>
  <c r="E107"/>
  <c r="E106"/>
  <c r="E105"/>
  <c r="E104"/>
  <c r="E103"/>
  <c r="E102"/>
  <c r="E101"/>
  <c r="E100"/>
  <c r="E98"/>
  <c r="E97"/>
  <c r="E96"/>
  <c r="E95"/>
  <c r="E94"/>
  <c r="E93"/>
  <c r="E92"/>
  <c r="E91"/>
  <c r="E90"/>
  <c r="E88"/>
  <c r="D86"/>
  <c r="E79"/>
  <c r="E78"/>
  <c r="E77"/>
  <c r="E75"/>
  <c r="E73"/>
  <c r="E71"/>
  <c r="E66"/>
  <c r="E65"/>
  <c r="E63"/>
  <c r="E61"/>
  <c r="E59"/>
  <c r="E57"/>
  <c r="E56"/>
  <c r="E54"/>
  <c r="E53"/>
  <c r="E52"/>
  <c r="E51"/>
  <c r="E50"/>
  <c r="E49"/>
  <c r="E47"/>
  <c r="E45"/>
  <c r="E44"/>
  <c r="E43"/>
  <c r="E41"/>
  <c r="E39"/>
  <c r="D37"/>
  <c r="E34"/>
  <c r="E33"/>
  <c r="E32"/>
  <c r="E31"/>
  <c r="E30"/>
  <c r="E29"/>
  <c r="E28"/>
  <c r="E27"/>
  <c r="E26"/>
  <c r="E25"/>
  <c r="E24"/>
  <c r="I22"/>
  <c r="E22"/>
  <c r="E20"/>
  <c r="E18"/>
  <c r="D16"/>
  <c r="D14"/>
  <c r="D13"/>
  <c r="D12"/>
  <c r="D9"/>
  <c r="C6"/>
  <c r="I4"/>
  <c r="G4"/>
  <c r="E4"/>
  <c r="K3"/>
  <c r="I3"/>
  <c r="G3"/>
  <c r="E3"/>
  <c r="K2"/>
  <c r="I2"/>
  <c r="G2"/>
  <c r="E2"/>
  <c r="B2"/>
  <c r="B88" i="10"/>
  <c r="B86"/>
  <c r="B84"/>
  <c r="B82"/>
  <c r="B81"/>
  <c r="B80"/>
  <c r="B79"/>
  <c r="E77"/>
  <c r="E76"/>
  <c r="E75"/>
  <c r="E74"/>
  <c r="E73"/>
  <c r="E72"/>
  <c r="E71"/>
  <c r="C71"/>
  <c r="E70"/>
  <c r="C70"/>
  <c r="B69"/>
  <c r="B68"/>
  <c r="B67"/>
  <c r="B66"/>
  <c r="B65"/>
  <c r="B63"/>
  <c r="B60"/>
  <c r="B59"/>
  <c r="B57"/>
  <c r="B56"/>
  <c r="D55"/>
  <c r="B54"/>
  <c r="D53"/>
  <c r="B53"/>
  <c r="D52"/>
  <c r="B52"/>
  <c r="B51"/>
  <c r="B50"/>
  <c r="B48"/>
  <c r="B47"/>
  <c r="E38"/>
  <c r="B36"/>
  <c r="B34"/>
  <c r="B33"/>
  <c r="B31"/>
  <c r="C29"/>
  <c r="C28"/>
  <c r="B27"/>
  <c r="B25"/>
  <c r="B24"/>
  <c r="B23"/>
  <c r="B22"/>
  <c r="B21"/>
  <c r="B19"/>
  <c r="B18"/>
  <c r="B16"/>
  <c r="B13"/>
  <c r="B12"/>
  <c r="C11"/>
  <c r="C10"/>
  <c r="C9"/>
  <c r="C8"/>
  <c r="B7"/>
  <c r="B5"/>
  <c r="C3"/>
  <c r="C2"/>
  <c r="I1"/>
  <c r="G1"/>
  <c r="E1"/>
  <c r="C1"/>
  <c r="A1"/>
  <c r="B64" i="9"/>
  <c r="B63"/>
  <c r="B62"/>
  <c r="B61"/>
  <c r="B60"/>
  <c r="F56"/>
  <c r="B56"/>
  <c r="B48"/>
  <c r="B46"/>
  <c r="B45"/>
  <c r="B44"/>
  <c r="B41"/>
  <c r="B39"/>
  <c r="C37"/>
  <c r="C36"/>
  <c r="C35"/>
  <c r="C34"/>
  <c r="B33"/>
  <c r="B31"/>
  <c r="B29"/>
  <c r="B27"/>
  <c r="B25"/>
  <c r="B23"/>
  <c r="C21"/>
  <c r="C20"/>
  <c r="C19"/>
  <c r="C18"/>
  <c r="B17"/>
  <c r="C15"/>
  <c r="C14"/>
  <c r="C13"/>
  <c r="C12"/>
  <c r="C11"/>
  <c r="B10"/>
  <c r="B8"/>
  <c r="B7"/>
  <c r="B5"/>
  <c r="B1"/>
  <c r="M2067" i="50"/>
  <c r="AT2065"/>
  <c r="AT2067" s="1"/>
  <c r="M2040"/>
  <c r="AT2038"/>
  <c r="AT2040"/>
  <c r="M2013"/>
  <c r="AT2011"/>
  <c r="AT2013" s="1"/>
  <c r="M1986"/>
  <c r="AT1984"/>
  <c r="AT1986"/>
  <c r="M1959"/>
  <c r="AT1957"/>
  <c r="AT1959" s="1"/>
  <c r="M1932"/>
  <c r="AT1930"/>
  <c r="AT1932" s="1"/>
  <c r="M1905"/>
  <c r="AT1903"/>
  <c r="AT1905" s="1"/>
  <c r="M1878"/>
  <c r="AT1876"/>
  <c r="AT1878"/>
  <c r="M1851"/>
  <c r="AT1849"/>
  <c r="AT1851" s="1"/>
  <c r="M1824"/>
  <c r="AT1822"/>
  <c r="AT1824"/>
  <c r="M1797"/>
  <c r="AT1795"/>
  <c r="AT1797" s="1"/>
  <c r="M1770"/>
  <c r="AT1768"/>
  <c r="AT1770"/>
  <c r="M1743"/>
  <c r="AT1741"/>
  <c r="AT1743" s="1"/>
  <c r="M1716"/>
  <c r="AT1714"/>
  <c r="AT1716" s="1"/>
  <c r="M1689"/>
  <c r="AT1687"/>
  <c r="AT1689" s="1"/>
  <c r="M1662"/>
  <c r="AT1660"/>
  <c r="AT1662"/>
  <c r="M1635"/>
  <c r="AT1633"/>
  <c r="AT1635" s="1"/>
  <c r="M1608"/>
  <c r="AT1606"/>
  <c r="AT1608"/>
  <c r="M1581"/>
  <c r="AT1579"/>
  <c r="AT1581" s="1"/>
  <c r="M1554"/>
  <c r="AT1552"/>
  <c r="AT1554"/>
  <c r="M1527"/>
  <c r="AT1525"/>
  <c r="AT1527" s="1"/>
  <c r="M1500"/>
  <c r="AT1498"/>
  <c r="AT1500"/>
  <c r="M1473"/>
  <c r="AT1471"/>
  <c r="AT1473" s="1"/>
  <c r="M1446"/>
  <c r="AT1444"/>
  <c r="AT1446"/>
  <c r="M1419"/>
  <c r="AT1417"/>
  <c r="AT1419" s="1"/>
  <c r="M1392"/>
  <c r="AT1390"/>
  <c r="AT1392"/>
  <c r="M1365"/>
  <c r="AT1363"/>
  <c r="AT1365" s="1"/>
  <c r="M1338"/>
  <c r="AT1336"/>
  <c r="AT1338"/>
  <c r="M1311"/>
  <c r="AT1309"/>
  <c r="AT1311" s="1"/>
  <c r="M1284"/>
  <c r="AT1282"/>
  <c r="AT1284" s="1"/>
  <c r="M1257"/>
  <c r="AT1255"/>
  <c r="AT1257"/>
  <c r="M1230"/>
  <c r="AT1228"/>
  <c r="AT1230" s="1"/>
  <c r="M1203"/>
  <c r="AT1201"/>
  <c r="AT1203"/>
  <c r="M1176"/>
  <c r="AT1174"/>
  <c r="AT1176" s="1"/>
  <c r="M1149"/>
  <c r="AT1147"/>
  <c r="AT1149"/>
  <c r="M1122"/>
  <c r="AT1120"/>
  <c r="AT1122" s="1"/>
  <c r="M1095"/>
  <c r="AT1093"/>
  <c r="AT1095"/>
  <c r="M1068"/>
  <c r="AT1066"/>
  <c r="AT1068" s="1"/>
  <c r="M1041"/>
  <c r="AT1039"/>
  <c r="AT1041"/>
  <c r="M1014"/>
  <c r="AT1012"/>
  <c r="AT1014" s="1"/>
  <c r="M987"/>
  <c r="AT985"/>
  <c r="AT987" s="1"/>
  <c r="M960"/>
  <c r="AT958"/>
  <c r="AT960"/>
  <c r="M933"/>
  <c r="AT931"/>
  <c r="AT933" s="1"/>
  <c r="M906"/>
  <c r="AT904"/>
  <c r="AT906" s="1"/>
  <c r="M879"/>
  <c r="AT877"/>
  <c r="AT879" s="1"/>
  <c r="M852"/>
  <c r="AT850"/>
  <c r="AT852"/>
  <c r="M825"/>
  <c r="AT823"/>
  <c r="AT825" s="1"/>
  <c r="M798"/>
  <c r="AT796"/>
  <c r="AT798" s="1"/>
  <c r="M771"/>
  <c r="AT769"/>
  <c r="AT771" s="1"/>
  <c r="M744"/>
  <c r="AT742"/>
  <c r="AT744"/>
  <c r="M717"/>
  <c r="AT715"/>
  <c r="AT717" s="1"/>
  <c r="M690"/>
  <c r="AT688"/>
  <c r="AT690" s="1"/>
  <c r="M663"/>
  <c r="AT661"/>
  <c r="AT663" s="1"/>
  <c r="M636"/>
  <c r="AT634"/>
  <c r="AT636"/>
  <c r="M609"/>
  <c r="AT607"/>
  <c r="AT609" s="1"/>
  <c r="M582"/>
  <c r="AT580"/>
  <c r="AT582" s="1"/>
  <c r="M555"/>
  <c r="AT553"/>
  <c r="AT555" s="1"/>
  <c r="M528"/>
  <c r="AT526"/>
  <c r="AT528"/>
  <c r="M501"/>
  <c r="AT499"/>
  <c r="AT501" s="1"/>
  <c r="M474"/>
  <c r="AT472"/>
  <c r="AT474" s="1"/>
  <c r="M447"/>
  <c r="AT445"/>
  <c r="AT447" s="1"/>
  <c r="M420"/>
  <c r="AT418"/>
  <c r="AT420"/>
  <c r="M393"/>
  <c r="AT391"/>
  <c r="AT393" s="1"/>
  <c r="M366"/>
  <c r="AT364"/>
  <c r="AT366" s="1"/>
  <c r="M339"/>
  <c r="AT337"/>
  <c r="AT339" s="1"/>
  <c r="M312"/>
  <c r="AT310"/>
  <c r="AT312"/>
  <c r="M285"/>
  <c r="AT283"/>
  <c r="AT285" s="1"/>
  <c r="M258"/>
  <c r="AT256"/>
  <c r="AT258" s="1"/>
  <c r="M231"/>
  <c r="AT229"/>
  <c r="AT231" s="1"/>
  <c r="M204"/>
  <c r="AT202"/>
  <c r="AT204"/>
  <c r="M177"/>
  <c r="AT175"/>
  <c r="AT177" s="1"/>
  <c r="M150"/>
  <c r="AT148"/>
  <c r="AT150"/>
  <c r="M123"/>
  <c r="AT121"/>
  <c r="AT123" s="1"/>
  <c r="M96"/>
  <c r="AT94"/>
  <c r="AT96"/>
  <c r="AT67"/>
  <c r="AT69"/>
  <c r="AA2078"/>
  <c r="Z2078"/>
  <c r="AA2077"/>
  <c r="Z2077"/>
  <c r="Z2076"/>
  <c r="AA2075"/>
  <c r="AQ2075" s="1"/>
  <c r="Z2075"/>
  <c r="AA2074"/>
  <c r="Z2074"/>
  <c r="Z2073"/>
  <c r="Z2072"/>
  <c r="AQ2070"/>
  <c r="K2070" s="1"/>
  <c r="Z2070"/>
  <c r="P2060"/>
  <c r="P2033" s="1"/>
  <c r="P2006" s="1"/>
  <c r="P1979" s="1"/>
  <c r="P1952" s="1"/>
  <c r="P1925" s="1"/>
  <c r="P1898" s="1"/>
  <c r="P1871" s="1"/>
  <c r="P1844" s="1"/>
  <c r="P1817" s="1"/>
  <c r="P1790" s="1"/>
  <c r="P1763" s="1"/>
  <c r="P1736" s="1"/>
  <c r="P1709" s="1"/>
  <c r="P1682" s="1"/>
  <c r="P1655" s="1"/>
  <c r="P1628" s="1"/>
  <c r="P1601" s="1"/>
  <c r="P1574" s="1"/>
  <c r="P1547" s="1"/>
  <c r="P1520" s="1"/>
  <c r="P1493" s="1"/>
  <c r="P1466" s="1"/>
  <c r="P1439" s="1"/>
  <c r="P1412" s="1"/>
  <c r="P1385" s="1"/>
  <c r="P1358" s="1"/>
  <c r="P1331" s="1"/>
  <c r="P1304" s="1"/>
  <c r="P1277" s="1"/>
  <c r="P1250" s="1"/>
  <c r="P1223" s="1"/>
  <c r="P1196" s="1"/>
  <c r="P1169" s="1"/>
  <c r="P1142" s="1"/>
  <c r="P1115" s="1"/>
  <c r="P1088" s="1"/>
  <c r="P1061" s="1"/>
  <c r="P1034" s="1"/>
  <c r="P1007" s="1"/>
  <c r="P980" s="1"/>
  <c r="P953" s="1"/>
  <c r="P926" s="1"/>
  <c r="P899" s="1"/>
  <c r="P872" s="1"/>
  <c r="P845" s="1"/>
  <c r="P818" s="1"/>
  <c r="P791" s="1"/>
  <c r="P764" s="1"/>
  <c r="P737" s="1"/>
  <c r="P710" s="1"/>
  <c r="P683" s="1"/>
  <c r="P656" s="1"/>
  <c r="P629" s="1"/>
  <c r="P602" s="1"/>
  <c r="P575" s="1"/>
  <c r="P548" s="1"/>
  <c r="P521" s="1"/>
  <c r="P494" s="1"/>
  <c r="P467" s="1"/>
  <c r="P440" s="1"/>
  <c r="P413" s="1"/>
  <c r="P386" s="1"/>
  <c r="P359" s="1"/>
  <c r="P332" s="1"/>
  <c r="A2060"/>
  <c r="U2059"/>
  <c r="V2070"/>
  <c r="V2080" s="1"/>
  <c r="T2059"/>
  <c r="AA2051"/>
  <c r="Z2051"/>
  <c r="AA2050"/>
  <c r="Z2050"/>
  <c r="Z2049"/>
  <c r="AA2048"/>
  <c r="AQ2048" s="1"/>
  <c r="K2048" s="1"/>
  <c r="Z2048"/>
  <c r="AA2047"/>
  <c r="AQ2047" s="1"/>
  <c r="Z2047"/>
  <c r="Z2046"/>
  <c r="Z2045"/>
  <c r="AQ2043"/>
  <c r="K2043" s="1"/>
  <c r="Z2043"/>
  <c r="V2043"/>
  <c r="V2053" s="1"/>
  <c r="A2033"/>
  <c r="U2032"/>
  <c r="E2034"/>
  <c r="T2032"/>
  <c r="AA2024"/>
  <c r="Z2024"/>
  <c r="AA2023"/>
  <c r="Z2023"/>
  <c r="Z2022"/>
  <c r="AA2021"/>
  <c r="AQ2021" s="1"/>
  <c r="Z2021"/>
  <c r="AA2020"/>
  <c r="Z2020"/>
  <c r="Z2019"/>
  <c r="Z2018"/>
  <c r="AQ2016"/>
  <c r="K2016" s="1"/>
  <c r="Z2016"/>
  <c r="V2016"/>
  <c r="V2026" s="1"/>
  <c r="E2009"/>
  <c r="E2007"/>
  <c r="T2016" s="1"/>
  <c r="A2006"/>
  <c r="U2005"/>
  <c r="T2005"/>
  <c r="AA1997"/>
  <c r="Z1997"/>
  <c r="AA1996"/>
  <c r="Z1996"/>
  <c r="Z1995"/>
  <c r="AA1994"/>
  <c r="AQ1994" s="1"/>
  <c r="K1994"/>
  <c r="Z1994"/>
  <c r="AA1993"/>
  <c r="AQ1993" s="1"/>
  <c r="K1993" s="1"/>
  <c r="Z1993"/>
  <c r="Z1992"/>
  <c r="Z1991"/>
  <c r="AQ1989"/>
  <c r="K1989" s="1"/>
  <c r="Z1989"/>
  <c r="V1989"/>
  <c r="V1999" s="1"/>
  <c r="E1982"/>
  <c r="E1980"/>
  <c r="A1979"/>
  <c r="U1978"/>
  <c r="T1978"/>
  <c r="AA1970"/>
  <c r="Z1970"/>
  <c r="AA1969"/>
  <c r="Z1969"/>
  <c r="Z1968"/>
  <c r="AA1967"/>
  <c r="AQ1967"/>
  <c r="Z1967"/>
  <c r="AA1966"/>
  <c r="AQ1966" s="1"/>
  <c r="K1966" s="1"/>
  <c r="Z1966"/>
  <c r="Z1965"/>
  <c r="Z1964"/>
  <c r="AQ1962"/>
  <c r="K1962" s="1"/>
  <c r="Z1962"/>
  <c r="V1962"/>
  <c r="V1964" s="1"/>
  <c r="V1965" s="1"/>
  <c r="V1966" s="1"/>
  <c r="V1967" s="1"/>
  <c r="V1968" s="1"/>
  <c r="V1969" s="1"/>
  <c r="E1955"/>
  <c r="E1953"/>
  <c r="T1953" s="1"/>
  <c r="A1952"/>
  <c r="U1951"/>
  <c r="T1951"/>
  <c r="AA1943"/>
  <c r="Z1943"/>
  <c r="AA1942"/>
  <c r="Z1942"/>
  <c r="Z1941"/>
  <c r="AA1940"/>
  <c r="AQ1940" s="1"/>
  <c r="Z1940"/>
  <c r="AA1939"/>
  <c r="Z1939"/>
  <c r="Z1938"/>
  <c r="Z1937"/>
  <c r="AQ1935"/>
  <c r="K1935" s="1"/>
  <c r="Z1935"/>
  <c r="V1935"/>
  <c r="V1945" s="1"/>
  <c r="E1928"/>
  <c r="E1926"/>
  <c r="K1925" s="1"/>
  <c r="A1925"/>
  <c r="U1924"/>
  <c r="T1924"/>
  <c r="AA1916"/>
  <c r="Z1916"/>
  <c r="AA1915"/>
  <c r="Z1915"/>
  <c r="Z1914"/>
  <c r="AA1913"/>
  <c r="AQ1913" s="1"/>
  <c r="K1913" s="1"/>
  <c r="Z1913"/>
  <c r="AA1912"/>
  <c r="Z1912"/>
  <c r="Z1911"/>
  <c r="Z1910"/>
  <c r="AQ1908"/>
  <c r="K1908" s="1"/>
  <c r="Z1908"/>
  <c r="V1908"/>
  <c r="V1910" s="1"/>
  <c r="V1911" s="1"/>
  <c r="V1912" s="1"/>
  <c r="V1913" s="1"/>
  <c r="V1914" s="1"/>
  <c r="V1915" s="1"/>
  <c r="E1901"/>
  <c r="E1899"/>
  <c r="A1898"/>
  <c r="U1897"/>
  <c r="T1897"/>
  <c r="AA1889"/>
  <c r="Z1889"/>
  <c r="AA1888"/>
  <c r="Z1888"/>
  <c r="Z1887"/>
  <c r="AA1886"/>
  <c r="AQ1886" s="1"/>
  <c r="K1886" s="1"/>
  <c r="Z1886"/>
  <c r="AA1885"/>
  <c r="AQ1885"/>
  <c r="K1885" s="1"/>
  <c r="Z1885"/>
  <c r="Z1884"/>
  <c r="Z1883"/>
  <c r="AQ1881"/>
  <c r="K1881" s="1"/>
  <c r="Z1881"/>
  <c r="V1881"/>
  <c r="V1891" s="1"/>
  <c r="E1874"/>
  <c r="E1872"/>
  <c r="T1886" s="1"/>
  <c r="A1871"/>
  <c r="U1870"/>
  <c r="T1870"/>
  <c r="AA1862"/>
  <c r="Z1862"/>
  <c r="AA1861"/>
  <c r="Z1861"/>
  <c r="Z1860"/>
  <c r="AA1859"/>
  <c r="AQ1859" s="1"/>
  <c r="Z1859"/>
  <c r="AA1858"/>
  <c r="AQ1858" s="1"/>
  <c r="Z1858"/>
  <c r="Z1857"/>
  <c r="Z1856"/>
  <c r="AQ1854"/>
  <c r="K1854"/>
  <c r="Z1854"/>
  <c r="V1854"/>
  <c r="V1864" s="1"/>
  <c r="E1847"/>
  <c r="E1845"/>
  <c r="T1859" s="1"/>
  <c r="A1844"/>
  <c r="U1843"/>
  <c r="T1843"/>
  <c r="AA1835"/>
  <c r="Z1835"/>
  <c r="AA1834"/>
  <c r="Z1834"/>
  <c r="Z1833"/>
  <c r="AA1832"/>
  <c r="AQ1832" s="1"/>
  <c r="Z1832"/>
  <c r="AA1831"/>
  <c r="Z1831"/>
  <c r="Z1830"/>
  <c r="Z1829"/>
  <c r="AQ1827"/>
  <c r="K1827" s="1"/>
  <c r="Z1827"/>
  <c r="V1827"/>
  <c r="V1837" s="1"/>
  <c r="E1820"/>
  <c r="E1818"/>
  <c r="T1818" s="1"/>
  <c r="A1817"/>
  <c r="U1816"/>
  <c r="T1816"/>
  <c r="AA1808"/>
  <c r="Z1808"/>
  <c r="AA1807"/>
  <c r="Z1807"/>
  <c r="Z1806"/>
  <c r="AA1805"/>
  <c r="AQ1805" s="1"/>
  <c r="K1805"/>
  <c r="Z1805"/>
  <c r="AA1804"/>
  <c r="Z1804"/>
  <c r="Z1803"/>
  <c r="Z1802"/>
  <c r="AQ1800"/>
  <c r="K1800" s="1"/>
  <c r="Z1800"/>
  <c r="V1800"/>
  <c r="V1810" s="1"/>
  <c r="E1793"/>
  <c r="E1791"/>
  <c r="A1790"/>
  <c r="U1789"/>
  <c r="T1789"/>
  <c r="AA1781"/>
  <c r="Z1781"/>
  <c r="AA1780"/>
  <c r="Z1780"/>
  <c r="Z1779"/>
  <c r="AA1778"/>
  <c r="AQ1778" s="1"/>
  <c r="K1778" s="1"/>
  <c r="Z1778"/>
  <c r="AA1777"/>
  <c r="AQ1777" s="1"/>
  <c r="K1777" s="1"/>
  <c r="Z1777"/>
  <c r="Z1776"/>
  <c r="Z1775"/>
  <c r="AQ1773"/>
  <c r="K1773"/>
  <c r="Z1773"/>
  <c r="V1773"/>
  <c r="V1783" s="1"/>
  <c r="E1766"/>
  <c r="E1764"/>
  <c r="T1764" s="1"/>
  <c r="A1763"/>
  <c r="U1762"/>
  <c r="T1762"/>
  <c r="AA1754"/>
  <c r="Z1754"/>
  <c r="AA1753"/>
  <c r="Z1753"/>
  <c r="Z1752"/>
  <c r="AA1751"/>
  <c r="AQ1751" s="1"/>
  <c r="Z1751"/>
  <c r="AA1750"/>
  <c r="Z1750"/>
  <c r="Z1749"/>
  <c r="Z1748"/>
  <c r="AQ1746"/>
  <c r="K1746" s="1"/>
  <c r="Z1746"/>
  <c r="V1746"/>
  <c r="V1756" s="1"/>
  <c r="E1739"/>
  <c r="E1737"/>
  <c r="T1749" s="1"/>
  <c r="A1736"/>
  <c r="U1735"/>
  <c r="T1735"/>
  <c r="AA1727"/>
  <c r="Z1727"/>
  <c r="AA1726"/>
  <c r="Z1726"/>
  <c r="Z1725"/>
  <c r="AA1724"/>
  <c r="Z1724"/>
  <c r="AA1723"/>
  <c r="Z1723"/>
  <c r="Z1722"/>
  <c r="Z1721"/>
  <c r="AQ1719"/>
  <c r="K1719" s="1"/>
  <c r="Z1719"/>
  <c r="V1719"/>
  <c r="V1729" s="1"/>
  <c r="E1712"/>
  <c r="E1710"/>
  <c r="A1709"/>
  <c r="U1708"/>
  <c r="T1708"/>
  <c r="AA1700"/>
  <c r="Z1700"/>
  <c r="AA1699"/>
  <c r="Z1699"/>
  <c r="Z1698"/>
  <c r="AA1697"/>
  <c r="AQ1697" s="1"/>
  <c r="Z1697"/>
  <c r="AA1696"/>
  <c r="Z1696"/>
  <c r="Z1695"/>
  <c r="Z1694"/>
  <c r="AQ1692"/>
  <c r="K1692" s="1"/>
  <c r="Z1692"/>
  <c r="V1692"/>
  <c r="V1702" s="1"/>
  <c r="E1685"/>
  <c r="E1683"/>
  <c r="T1697" s="1"/>
  <c r="A1682"/>
  <c r="U1681"/>
  <c r="T1681"/>
  <c r="AA1673"/>
  <c r="Z1673"/>
  <c r="AA1672"/>
  <c r="Z1672"/>
  <c r="Z1671"/>
  <c r="AA1670"/>
  <c r="Z1670"/>
  <c r="AA1669"/>
  <c r="AQ1669" s="1"/>
  <c r="Z1669"/>
  <c r="Z1668"/>
  <c r="Z1667"/>
  <c r="AQ1665"/>
  <c r="K1665" s="1"/>
  <c r="Z1665"/>
  <c r="V1665"/>
  <c r="V1675" s="1"/>
  <c r="E1658"/>
  <c r="E1656"/>
  <c r="T1672" s="1"/>
  <c r="A1655"/>
  <c r="U1654"/>
  <c r="T1654"/>
  <c r="AA1646"/>
  <c r="Z1646"/>
  <c r="AA1645"/>
  <c r="Z1645"/>
  <c r="Z1644"/>
  <c r="AA1643"/>
  <c r="Z1643"/>
  <c r="AA1642"/>
  <c r="Z1642"/>
  <c r="Z1641"/>
  <c r="Z1640"/>
  <c r="AQ1638"/>
  <c r="K1638" s="1"/>
  <c r="Z1638"/>
  <c r="V1638"/>
  <c r="V1648" s="1"/>
  <c r="E1631"/>
  <c r="E1629"/>
  <c r="T1638" s="1"/>
  <c r="A1628"/>
  <c r="U1627"/>
  <c r="T1627"/>
  <c r="AA1619"/>
  <c r="Z1619"/>
  <c r="AA1618"/>
  <c r="Z1618"/>
  <c r="Z1617"/>
  <c r="AA1616"/>
  <c r="Z1616"/>
  <c r="AA1615"/>
  <c r="Z1615"/>
  <c r="Z1614"/>
  <c r="Z1613"/>
  <c r="AQ1611"/>
  <c r="K1611" s="1"/>
  <c r="Z1611"/>
  <c r="V1611"/>
  <c r="V1621" s="1"/>
  <c r="E1604"/>
  <c r="E1602"/>
  <c r="T1619" s="1"/>
  <c r="A1601"/>
  <c r="U1600"/>
  <c r="T1600"/>
  <c r="AA1592"/>
  <c r="Z1592"/>
  <c r="AA1591"/>
  <c r="Z1591"/>
  <c r="Z1590"/>
  <c r="AA1589"/>
  <c r="Z1589"/>
  <c r="AA1588"/>
  <c r="Z1588"/>
  <c r="Z1587"/>
  <c r="Z1586"/>
  <c r="AQ1584"/>
  <c r="K1584" s="1"/>
  <c r="Z1584"/>
  <c r="V1584"/>
  <c r="V1594" s="1"/>
  <c r="E1577"/>
  <c r="E1575"/>
  <c r="K1574" s="1"/>
  <c r="A1574"/>
  <c r="U1573"/>
  <c r="T1573"/>
  <c r="AA1565"/>
  <c r="Z1565"/>
  <c r="AA1564"/>
  <c r="Z1564"/>
  <c r="Z1563"/>
  <c r="AA1562"/>
  <c r="AQ1562" s="1"/>
  <c r="Z1562"/>
  <c r="AA1561"/>
  <c r="AQ1561" s="1"/>
  <c r="Z1561"/>
  <c r="Z1560"/>
  <c r="Z1559"/>
  <c r="AA1559" s="1"/>
  <c r="AH1559" s="1"/>
  <c r="AQ1557"/>
  <c r="K1557"/>
  <c r="Z1557"/>
  <c r="V1557"/>
  <c r="V1567" s="1"/>
  <c r="E1550"/>
  <c r="E1548"/>
  <c r="T1548" s="1"/>
  <c r="A1547"/>
  <c r="U1546"/>
  <c r="T1546"/>
  <c r="AA1538"/>
  <c r="Z1538"/>
  <c r="AA1537"/>
  <c r="Z1537"/>
  <c r="Z1536"/>
  <c r="AA1535"/>
  <c r="AQ1535"/>
  <c r="K1535" s="1"/>
  <c r="Z1535"/>
  <c r="AA1534"/>
  <c r="Z1534"/>
  <c r="Z1533"/>
  <c r="AA1533" s="1"/>
  <c r="AH1533" s="1"/>
  <c r="Z1532"/>
  <c r="AQ1530"/>
  <c r="K1530" s="1"/>
  <c r="Z1530"/>
  <c r="V1530"/>
  <c r="V1540" s="1"/>
  <c r="E1523"/>
  <c r="E1521"/>
  <c r="A1520"/>
  <c r="U1519"/>
  <c r="T1519"/>
  <c r="AA1511"/>
  <c r="Z1511"/>
  <c r="AA1510"/>
  <c r="Z1510"/>
  <c r="Z1509"/>
  <c r="AA1508"/>
  <c r="AQ1508" s="1"/>
  <c r="K1508" s="1"/>
  <c r="Z1508"/>
  <c r="AA1507"/>
  <c r="AQ1507" s="1"/>
  <c r="Z1507"/>
  <c r="Z1506"/>
  <c r="Z1505"/>
  <c r="AQ1503"/>
  <c r="K1503"/>
  <c r="Z1503"/>
  <c r="V1503"/>
  <c r="V1513" s="1"/>
  <c r="E1496"/>
  <c r="E1494"/>
  <c r="T1510" s="1"/>
  <c r="A1493"/>
  <c r="U1492"/>
  <c r="T1492"/>
  <c r="AA1484"/>
  <c r="Z1484"/>
  <c r="AA1483"/>
  <c r="Z1483"/>
  <c r="Z1482"/>
  <c r="AA1481"/>
  <c r="Z1481"/>
  <c r="AA1480"/>
  <c r="AQ1480" s="1"/>
  <c r="Z1480"/>
  <c r="Z1479"/>
  <c r="Z1478"/>
  <c r="AQ1476"/>
  <c r="K1476"/>
  <c r="Z1476"/>
  <c r="V1476"/>
  <c r="V1486" s="1"/>
  <c r="E1469"/>
  <c r="E1467"/>
  <c r="A1466"/>
  <c r="U1465"/>
  <c r="T1465"/>
  <c r="AA1457"/>
  <c r="Z1457"/>
  <c r="AA1456"/>
  <c r="Z1456"/>
  <c r="Z1455"/>
  <c r="AA1454"/>
  <c r="Z1454"/>
  <c r="AA1453"/>
  <c r="AQ1453"/>
  <c r="K1453" s="1"/>
  <c r="Z1453"/>
  <c r="Z1452"/>
  <c r="Z1451"/>
  <c r="AQ1449"/>
  <c r="K1449" s="1"/>
  <c r="Z1449"/>
  <c r="V1449"/>
  <c r="V1459" s="1"/>
  <c r="E1442"/>
  <c r="E1440"/>
  <c r="K1439" s="1"/>
  <c r="A1439"/>
  <c r="U1438"/>
  <c r="T1438"/>
  <c r="AA1430"/>
  <c r="Z1430"/>
  <c r="AA1429"/>
  <c r="Z1429"/>
  <c r="Z1428"/>
  <c r="AA1427"/>
  <c r="AQ1427" s="1"/>
  <c r="K1427" s="1"/>
  <c r="Z1427"/>
  <c r="AA1426"/>
  <c r="Z1426"/>
  <c r="Z1425"/>
  <c r="Z1424"/>
  <c r="AQ1422"/>
  <c r="K1422"/>
  <c r="Z1422"/>
  <c r="V1422"/>
  <c r="V1432" s="1"/>
  <c r="E1413"/>
  <c r="T1424" s="1"/>
  <c r="A1412"/>
  <c r="U1411"/>
  <c r="T1411"/>
  <c r="AA1403"/>
  <c r="Z1403"/>
  <c r="AA1402"/>
  <c r="Z1402"/>
  <c r="Z1401"/>
  <c r="AA1400"/>
  <c r="Z1400"/>
  <c r="AA1399"/>
  <c r="Z1399"/>
  <c r="Z1398"/>
  <c r="Z1397"/>
  <c r="AQ1395"/>
  <c r="K1395" s="1"/>
  <c r="Z1395"/>
  <c r="V1395"/>
  <c r="V1405" s="1"/>
  <c r="E1388"/>
  <c r="E1386"/>
  <c r="T1401" s="1"/>
  <c r="A1385"/>
  <c r="U1384"/>
  <c r="T1384"/>
  <c r="AA1376"/>
  <c r="Z1376"/>
  <c r="AA1375"/>
  <c r="Z1375"/>
  <c r="Z1374"/>
  <c r="AA1373"/>
  <c r="AQ1373" s="1"/>
  <c r="AV1373" s="1"/>
  <c r="Z1373"/>
  <c r="AA1372"/>
  <c r="Z1372"/>
  <c r="Z1371"/>
  <c r="Z1370"/>
  <c r="AQ1368"/>
  <c r="K1368"/>
  <c r="Z1368"/>
  <c r="V1368"/>
  <c r="V1378" s="1"/>
  <c r="E1361"/>
  <c r="E1359"/>
  <c r="A1358"/>
  <c r="U1357"/>
  <c r="T1357"/>
  <c r="AA1349"/>
  <c r="Z1349"/>
  <c r="AA1348"/>
  <c r="Z1348"/>
  <c r="Z1347"/>
  <c r="AA1346"/>
  <c r="Z1346"/>
  <c r="AA1345"/>
  <c r="Z1345"/>
  <c r="Z1344"/>
  <c r="Z1343"/>
  <c r="AQ1341"/>
  <c r="K1341"/>
  <c r="Z1341"/>
  <c r="V1341"/>
  <c r="V1351" s="1"/>
  <c r="E1334"/>
  <c r="E1332"/>
  <c r="T1344" s="1"/>
  <c r="A1331"/>
  <c r="U1330"/>
  <c r="T1330"/>
  <c r="AA1322"/>
  <c r="Z1322"/>
  <c r="AA1321"/>
  <c r="Z1321"/>
  <c r="Z1320"/>
  <c r="AA1320" s="1"/>
  <c r="AH1320" s="1"/>
  <c r="AA1319"/>
  <c r="Z1319"/>
  <c r="AA1318"/>
  <c r="AQ1318" s="1"/>
  <c r="Z1318"/>
  <c r="Z1317"/>
  <c r="Z1316"/>
  <c r="AQ1314"/>
  <c r="K1314"/>
  <c r="Z1314"/>
  <c r="V1314"/>
  <c r="V1324" s="1"/>
  <c r="E1307"/>
  <c r="E1305"/>
  <c r="A1304"/>
  <c r="U1303"/>
  <c r="T1303"/>
  <c r="AA1295"/>
  <c r="Z1295"/>
  <c r="AA1294"/>
  <c r="Z1294"/>
  <c r="Z1293"/>
  <c r="AA1292"/>
  <c r="AQ1292" s="1"/>
  <c r="K1292" s="1"/>
  <c r="Z1292"/>
  <c r="AA1291"/>
  <c r="AQ1291" s="1"/>
  <c r="K1291" s="1"/>
  <c r="Z1291"/>
  <c r="Z1290"/>
  <c r="Z1289"/>
  <c r="AQ1287"/>
  <c r="K1287"/>
  <c r="Z1287"/>
  <c r="V1287"/>
  <c r="V1297" s="1"/>
  <c r="E1280"/>
  <c r="E1278"/>
  <c r="A1277"/>
  <c r="U1276"/>
  <c r="T1276"/>
  <c r="AA1268"/>
  <c r="Z1268"/>
  <c r="AA1267"/>
  <c r="Z1267"/>
  <c r="Z1266"/>
  <c r="AA1265"/>
  <c r="AQ1265"/>
  <c r="Z1265"/>
  <c r="AA1264"/>
  <c r="Z1264"/>
  <c r="Z1263"/>
  <c r="Z1262"/>
  <c r="AQ1260"/>
  <c r="K1260" s="1"/>
  <c r="Z1260"/>
  <c r="V1260"/>
  <c r="V1270" s="1"/>
  <c r="E1253"/>
  <c r="E1251"/>
  <c r="T1262" s="1"/>
  <c r="A1250"/>
  <c r="U1249"/>
  <c r="T1249"/>
  <c r="AA1241"/>
  <c r="Z1241"/>
  <c r="AA1240"/>
  <c r="Z1240"/>
  <c r="Z1239"/>
  <c r="AA1238"/>
  <c r="AQ1238" s="1"/>
  <c r="Z1238"/>
  <c r="AA1237"/>
  <c r="AQ1237" s="1"/>
  <c r="K1237" s="1"/>
  <c r="Z1237"/>
  <c r="Z1236"/>
  <c r="Z1235"/>
  <c r="AQ1233"/>
  <c r="K1233" s="1"/>
  <c r="Z1233"/>
  <c r="V1233"/>
  <c r="V1243" s="1"/>
  <c r="E1226"/>
  <c r="E1224"/>
  <c r="A1223"/>
  <c r="U1222"/>
  <c r="T1222"/>
  <c r="AA1214"/>
  <c r="Z1214"/>
  <c r="AA1213"/>
  <c r="Z1213"/>
  <c r="Z1212"/>
  <c r="AA1211"/>
  <c r="AQ1211"/>
  <c r="Z1211"/>
  <c r="AA1210"/>
  <c r="Z1210"/>
  <c r="Z1209"/>
  <c r="Z1208"/>
  <c r="AQ1206"/>
  <c r="K1206" s="1"/>
  <c r="Z1206"/>
  <c r="V1206"/>
  <c r="V1216" s="1"/>
  <c r="E1199"/>
  <c r="E1197"/>
  <c r="A1196"/>
  <c r="U1195"/>
  <c r="T1195"/>
  <c r="AA1187"/>
  <c r="Z1187"/>
  <c r="AA1186"/>
  <c r="Z1186"/>
  <c r="Z1185"/>
  <c r="AA1184"/>
  <c r="Z1184"/>
  <c r="AA1183"/>
  <c r="Z1183"/>
  <c r="Z1182"/>
  <c r="Z1181"/>
  <c r="AQ1179"/>
  <c r="K1179" s="1"/>
  <c r="Z1179"/>
  <c r="V1179"/>
  <c r="V1189" s="1"/>
  <c r="E1172"/>
  <c r="E1170"/>
  <c r="K1169" s="1"/>
  <c r="A1169"/>
  <c r="U1168"/>
  <c r="T1168"/>
  <c r="AA1160"/>
  <c r="Z1160"/>
  <c r="AA1159"/>
  <c r="Z1159"/>
  <c r="Z1158"/>
  <c r="AA1157"/>
  <c r="AQ1157" s="1"/>
  <c r="Z1157"/>
  <c r="AA1156"/>
  <c r="Z1156"/>
  <c r="Z1155"/>
  <c r="Z1154"/>
  <c r="AQ1152"/>
  <c r="K1152"/>
  <c r="Z1152"/>
  <c r="V1152"/>
  <c r="V1162" s="1"/>
  <c r="E1145"/>
  <c r="E1143"/>
  <c r="T1160" s="1"/>
  <c r="A1142"/>
  <c r="U1141"/>
  <c r="T1141"/>
  <c r="AA1133"/>
  <c r="Z1133"/>
  <c r="AA1132"/>
  <c r="Z1132"/>
  <c r="Z1131"/>
  <c r="AA1130"/>
  <c r="AQ1130"/>
  <c r="K1130" s="1"/>
  <c r="Z1130"/>
  <c r="AA1129"/>
  <c r="AQ1129" s="1"/>
  <c r="AV1129" s="1"/>
  <c r="Z1129"/>
  <c r="Z1128"/>
  <c r="Z1127"/>
  <c r="AQ1125"/>
  <c r="K1125" s="1"/>
  <c r="Z1125"/>
  <c r="V1125"/>
  <c r="V1135" s="1"/>
  <c r="E1118"/>
  <c r="E1116"/>
  <c r="T1128" s="1"/>
  <c r="A1115"/>
  <c r="U1114"/>
  <c r="T1114"/>
  <c r="AA1106"/>
  <c r="Z1106"/>
  <c r="AA1105"/>
  <c r="Z1105"/>
  <c r="Z1104"/>
  <c r="AA1103"/>
  <c r="Z1103"/>
  <c r="AA1102"/>
  <c r="AQ1102" s="1"/>
  <c r="Z1102"/>
  <c r="Z1101"/>
  <c r="Z1100"/>
  <c r="AQ1098"/>
  <c r="K1098" s="1"/>
  <c r="Z1098"/>
  <c r="V1098"/>
  <c r="V1108" s="1"/>
  <c r="E1091"/>
  <c r="E1089"/>
  <c r="T1100" s="1"/>
  <c r="A1088"/>
  <c r="U1087"/>
  <c r="T1087"/>
  <c r="AA1079"/>
  <c r="Z1079"/>
  <c r="AA1078"/>
  <c r="Z1078"/>
  <c r="Z1077"/>
  <c r="AA1076"/>
  <c r="Z1076"/>
  <c r="AA1075"/>
  <c r="Z1075"/>
  <c r="Z1074"/>
  <c r="Z1073"/>
  <c r="AQ1071"/>
  <c r="K1071" s="1"/>
  <c r="Z1071"/>
  <c r="V1071"/>
  <c r="V1081" s="1"/>
  <c r="E1064"/>
  <c r="E1062"/>
  <c r="T1073" s="1"/>
  <c r="A1061"/>
  <c r="U1060"/>
  <c r="T1060"/>
  <c r="AA1052"/>
  <c r="Z1052"/>
  <c r="AA1051"/>
  <c r="Z1051"/>
  <c r="Z1050"/>
  <c r="AA1049"/>
  <c r="AQ1049" s="1"/>
  <c r="K1049" s="1"/>
  <c r="Z1049"/>
  <c r="AA1048"/>
  <c r="AQ1048" s="1"/>
  <c r="K1048" s="1"/>
  <c r="Z1048"/>
  <c r="Z1047"/>
  <c r="Z1046"/>
  <c r="AQ1044"/>
  <c r="K1044" s="1"/>
  <c r="Z1044"/>
  <c r="V1044"/>
  <c r="V1054" s="1"/>
  <c r="E1037"/>
  <c r="E1035"/>
  <c r="T1051" s="1"/>
  <c r="A1034"/>
  <c r="U1033"/>
  <c r="T1033"/>
  <c r="AA1025"/>
  <c r="Z1025"/>
  <c r="AA1024"/>
  <c r="Z1024"/>
  <c r="Z1023"/>
  <c r="AA1022"/>
  <c r="Z1022"/>
  <c r="AA1021"/>
  <c r="AQ1021" s="1"/>
  <c r="Z1021"/>
  <c r="Z1020"/>
  <c r="Z1019"/>
  <c r="AQ1017"/>
  <c r="K1017"/>
  <c r="Z1017"/>
  <c r="V1017"/>
  <c r="V1027" s="1"/>
  <c r="E1010"/>
  <c r="E1008"/>
  <c r="A1007"/>
  <c r="U1006"/>
  <c r="T1006"/>
  <c r="AA998"/>
  <c r="Z998"/>
  <c r="AA997"/>
  <c r="Z997"/>
  <c r="Z996"/>
  <c r="AA995"/>
  <c r="AQ995"/>
  <c r="Z995"/>
  <c r="AA994"/>
  <c r="AQ994" s="1"/>
  <c r="Z994"/>
  <c r="Z993"/>
  <c r="Z992"/>
  <c r="AQ990"/>
  <c r="K990" s="1"/>
  <c r="Z990"/>
  <c r="V990"/>
  <c r="V1000" s="1"/>
  <c r="E983"/>
  <c r="E981"/>
  <c r="A980"/>
  <c r="U979"/>
  <c r="T979"/>
  <c r="AA971"/>
  <c r="Z971"/>
  <c r="AA970"/>
  <c r="Z970"/>
  <c r="Z969"/>
  <c r="AA968"/>
  <c r="Z968"/>
  <c r="AA967"/>
  <c r="Z967"/>
  <c r="Z966"/>
  <c r="Z965"/>
  <c r="AQ963"/>
  <c r="K963" s="1"/>
  <c r="Z963"/>
  <c r="V963"/>
  <c r="V973" s="1"/>
  <c r="E956"/>
  <c r="E954"/>
  <c r="T966" s="1"/>
  <c r="A953"/>
  <c r="U952"/>
  <c r="T952"/>
  <c r="AA944"/>
  <c r="Z944"/>
  <c r="AA943"/>
  <c r="Z943"/>
  <c r="Z942"/>
  <c r="AA941"/>
  <c r="AQ941" s="1"/>
  <c r="K941" s="1"/>
  <c r="Z941"/>
  <c r="AA940"/>
  <c r="AQ940" s="1"/>
  <c r="K940" s="1"/>
  <c r="Z940"/>
  <c r="Z939"/>
  <c r="Z938"/>
  <c r="AQ936"/>
  <c r="K936" s="1"/>
  <c r="Z936"/>
  <c r="V936"/>
  <c r="V946" s="1"/>
  <c r="E929"/>
  <c r="E927"/>
  <c r="T938" s="1"/>
  <c r="A926"/>
  <c r="U925"/>
  <c r="T925"/>
  <c r="AA917"/>
  <c r="Z917"/>
  <c r="AA916"/>
  <c r="Z916"/>
  <c r="Z915"/>
  <c r="AA914"/>
  <c r="Z914"/>
  <c r="AA913"/>
  <c r="AQ913" s="1"/>
  <c r="Z913"/>
  <c r="Z912"/>
  <c r="Z911"/>
  <c r="AQ909"/>
  <c r="K909" s="1"/>
  <c r="Z909"/>
  <c r="V909"/>
  <c r="V919" s="1"/>
  <c r="E902"/>
  <c r="E900"/>
  <c r="T915" s="1"/>
  <c r="A899"/>
  <c r="U898"/>
  <c r="T898"/>
  <c r="AA890"/>
  <c r="Z890"/>
  <c r="AA889"/>
  <c r="Z889"/>
  <c r="Z888"/>
  <c r="AA887"/>
  <c r="AQ887" s="1"/>
  <c r="K887"/>
  <c r="Z887"/>
  <c r="AA886"/>
  <c r="AQ886" s="1"/>
  <c r="K886" s="1"/>
  <c r="Z886"/>
  <c r="Z885"/>
  <c r="Z884"/>
  <c r="AQ882"/>
  <c r="K882" s="1"/>
  <c r="Z882"/>
  <c r="V882"/>
  <c r="V892" s="1"/>
  <c r="E875"/>
  <c r="E873"/>
  <c r="K872" s="1"/>
  <c r="A872"/>
  <c r="U871"/>
  <c r="T871"/>
  <c r="AA863"/>
  <c r="Z863"/>
  <c r="AA862"/>
  <c r="Z862"/>
  <c r="Z861"/>
  <c r="AA860"/>
  <c r="Z860"/>
  <c r="AA859"/>
  <c r="AQ859" s="1"/>
  <c r="K859"/>
  <c r="Z859"/>
  <c r="Z858"/>
  <c r="Z857"/>
  <c r="AQ855"/>
  <c r="K855" s="1"/>
  <c r="Z855"/>
  <c r="V855"/>
  <c r="V865" s="1"/>
  <c r="E848"/>
  <c r="E846"/>
  <c r="T863" s="1"/>
  <c r="A845"/>
  <c r="U844"/>
  <c r="T844"/>
  <c r="AA836"/>
  <c r="Z836"/>
  <c r="AA835"/>
  <c r="Z835"/>
  <c r="Z834"/>
  <c r="AA833"/>
  <c r="Z833"/>
  <c r="AA832"/>
  <c r="AQ832" s="1"/>
  <c r="Z832"/>
  <c r="Z831"/>
  <c r="Z830"/>
  <c r="AQ828"/>
  <c r="K828" s="1"/>
  <c r="Z828"/>
  <c r="V828"/>
  <c r="V838" s="1"/>
  <c r="E821"/>
  <c r="E819"/>
  <c r="T832" s="1"/>
  <c r="A818"/>
  <c r="U817"/>
  <c r="T817"/>
  <c r="AA809"/>
  <c r="Z809"/>
  <c r="AA808"/>
  <c r="Z808"/>
  <c r="Z807"/>
  <c r="AA806"/>
  <c r="AQ806" s="1"/>
  <c r="Z806"/>
  <c r="AA805"/>
  <c r="AQ805" s="1"/>
  <c r="K805" s="1"/>
  <c r="Z805"/>
  <c r="Z804"/>
  <c r="Z803"/>
  <c r="AQ801"/>
  <c r="K801" s="1"/>
  <c r="Z801"/>
  <c r="V801"/>
  <c r="E794"/>
  <c r="E792"/>
  <c r="T792" s="1"/>
  <c r="A791"/>
  <c r="U790"/>
  <c r="T790"/>
  <c r="AA782"/>
  <c r="Z782"/>
  <c r="AA781"/>
  <c r="Z781"/>
  <c r="Z780"/>
  <c r="AA779"/>
  <c r="Z779"/>
  <c r="AA778"/>
  <c r="Z778"/>
  <c r="Z777"/>
  <c r="Z776"/>
  <c r="AQ774"/>
  <c r="K774" s="1"/>
  <c r="Z774"/>
  <c r="V774"/>
  <c r="V784" s="1"/>
  <c r="E767"/>
  <c r="E765"/>
  <c r="T779" s="1"/>
  <c r="A764"/>
  <c r="U763"/>
  <c r="T763"/>
  <c r="AA755"/>
  <c r="Z755"/>
  <c r="AA754"/>
  <c r="Z754"/>
  <c r="Z753"/>
  <c r="AA752"/>
  <c r="Z752"/>
  <c r="AA751"/>
  <c r="Z751"/>
  <c r="Z750"/>
  <c r="Z749"/>
  <c r="AQ747"/>
  <c r="K747" s="1"/>
  <c r="Z747"/>
  <c r="V747"/>
  <c r="V757" s="1"/>
  <c r="E740"/>
  <c r="E738"/>
  <c r="T751" s="1"/>
  <c r="A737"/>
  <c r="U736"/>
  <c r="T736"/>
  <c r="AA728"/>
  <c r="Z728"/>
  <c r="AA727"/>
  <c r="Z727"/>
  <c r="Z726"/>
  <c r="AA725"/>
  <c r="AQ725" s="1"/>
  <c r="K725" s="1"/>
  <c r="Z725"/>
  <c r="AA724"/>
  <c r="AQ724" s="1"/>
  <c r="K724" s="1"/>
  <c r="Z724"/>
  <c r="Z723"/>
  <c r="Z722"/>
  <c r="AQ720"/>
  <c r="K720" s="1"/>
  <c r="Z720"/>
  <c r="V720"/>
  <c r="V730" s="1"/>
  <c r="E713"/>
  <c r="E711"/>
  <c r="T723" s="1"/>
  <c r="A710"/>
  <c r="U709"/>
  <c r="T709"/>
  <c r="AA701"/>
  <c r="Z701"/>
  <c r="AA700"/>
  <c r="Z700"/>
  <c r="Z699"/>
  <c r="AA698"/>
  <c r="AQ698" s="1"/>
  <c r="Z698"/>
  <c r="AA697"/>
  <c r="Z697"/>
  <c r="Z696"/>
  <c r="Z695"/>
  <c r="AQ693"/>
  <c r="K693"/>
  <c r="Z693"/>
  <c r="V693"/>
  <c r="V703" s="1"/>
  <c r="E686"/>
  <c r="E684"/>
  <c r="A683"/>
  <c r="U682"/>
  <c r="T682"/>
  <c r="AA674"/>
  <c r="Z674"/>
  <c r="AA673"/>
  <c r="Z673"/>
  <c r="Z672"/>
  <c r="AA671"/>
  <c r="AQ671"/>
  <c r="AV671" s="1"/>
  <c r="Z671"/>
  <c r="AA670"/>
  <c r="AQ670" s="1"/>
  <c r="Z670"/>
  <c r="Z669"/>
  <c r="Z668"/>
  <c r="AQ666"/>
  <c r="K666"/>
  <c r="Z666"/>
  <c r="V666"/>
  <c r="V676" s="1"/>
  <c r="E659"/>
  <c r="E657"/>
  <c r="K656" s="1"/>
  <c r="A656"/>
  <c r="U655"/>
  <c r="T655"/>
  <c r="AA647"/>
  <c r="Z647"/>
  <c r="AA646"/>
  <c r="Z646"/>
  <c r="Z645"/>
  <c r="AA644"/>
  <c r="AQ644"/>
  <c r="K644" s="1"/>
  <c r="Z644"/>
  <c r="AA643"/>
  <c r="AQ643" s="1"/>
  <c r="Z643"/>
  <c r="Z642"/>
  <c r="Z641"/>
  <c r="AQ639"/>
  <c r="K639"/>
  <c r="Z639"/>
  <c r="V639"/>
  <c r="V649" s="1"/>
  <c r="E632"/>
  <c r="E630"/>
  <c r="A629"/>
  <c r="U628"/>
  <c r="T628"/>
  <c r="AA620"/>
  <c r="Z620"/>
  <c r="AA619"/>
  <c r="Z619"/>
  <c r="Z618"/>
  <c r="AA617"/>
  <c r="Z617"/>
  <c r="AA616"/>
  <c r="Z616"/>
  <c r="Z615"/>
  <c r="Z614"/>
  <c r="AQ612"/>
  <c r="K612"/>
  <c r="Z612"/>
  <c r="V612"/>
  <c r="V622" s="1"/>
  <c r="E605"/>
  <c r="E603"/>
  <c r="T615" s="1"/>
  <c r="A602"/>
  <c r="U601"/>
  <c r="T601"/>
  <c r="AA593"/>
  <c r="Z593"/>
  <c r="AA592"/>
  <c r="Z592"/>
  <c r="Z591"/>
  <c r="AA590"/>
  <c r="Z590"/>
  <c r="AA589"/>
  <c r="Z589"/>
  <c r="Z588"/>
  <c r="Z587"/>
  <c r="AQ585"/>
  <c r="K585"/>
  <c r="Z585"/>
  <c r="V585"/>
  <c r="V595" s="1"/>
  <c r="E578"/>
  <c r="E576"/>
  <c r="A575"/>
  <c r="U574"/>
  <c r="T574"/>
  <c r="AA566"/>
  <c r="Z566"/>
  <c r="AA565"/>
  <c r="Z565"/>
  <c r="Z564"/>
  <c r="AA563"/>
  <c r="AQ563"/>
  <c r="K563" s="1"/>
  <c r="Z563"/>
  <c r="AA562"/>
  <c r="AQ562" s="1"/>
  <c r="K562" s="1"/>
  <c r="Z562"/>
  <c r="Z561"/>
  <c r="Z560"/>
  <c r="AQ558"/>
  <c r="K558"/>
  <c r="Z558"/>
  <c r="V558"/>
  <c r="V568" s="1"/>
  <c r="E551"/>
  <c r="E549"/>
  <c r="A548"/>
  <c r="U547"/>
  <c r="T547"/>
  <c r="AA539"/>
  <c r="Z539"/>
  <c r="AA538"/>
  <c r="Z538"/>
  <c r="Z537"/>
  <c r="AA536"/>
  <c r="Z536"/>
  <c r="AA535"/>
  <c r="AQ535" s="1"/>
  <c r="K535" s="1"/>
  <c r="Z535"/>
  <c r="Z534"/>
  <c r="Z533"/>
  <c r="AQ531"/>
  <c r="K531"/>
  <c r="Z531"/>
  <c r="V531"/>
  <c r="V541" s="1"/>
  <c r="E524"/>
  <c r="E522"/>
  <c r="A521"/>
  <c r="U520"/>
  <c r="T520"/>
  <c r="AA512"/>
  <c r="Z512"/>
  <c r="AA511"/>
  <c r="Z511"/>
  <c r="Z510"/>
  <c r="AA509"/>
  <c r="AQ509"/>
  <c r="K509" s="1"/>
  <c r="Z509"/>
  <c r="AA508"/>
  <c r="AQ508" s="1"/>
  <c r="Z508"/>
  <c r="Z507"/>
  <c r="Z506"/>
  <c r="AQ504"/>
  <c r="K504" s="1"/>
  <c r="Z504"/>
  <c r="V504"/>
  <c r="V514" s="1"/>
  <c r="E495"/>
  <c r="A494"/>
  <c r="U493"/>
  <c r="T493"/>
  <c r="AA485"/>
  <c r="Z485"/>
  <c r="AA484"/>
  <c r="Z484"/>
  <c r="Z483"/>
  <c r="AA482"/>
  <c r="AQ482"/>
  <c r="Z482"/>
  <c r="AA481"/>
  <c r="AQ481" s="1"/>
  <c r="AV481" s="1"/>
  <c r="Z481"/>
  <c r="Z480"/>
  <c r="Z479"/>
  <c r="AQ477"/>
  <c r="K477" s="1"/>
  <c r="Z477"/>
  <c r="V477"/>
  <c r="V487" s="1"/>
  <c r="E470"/>
  <c r="E468"/>
  <c r="A467"/>
  <c r="U466"/>
  <c r="T466"/>
  <c r="AA458"/>
  <c r="Z458"/>
  <c r="AA457"/>
  <c r="Z457"/>
  <c r="Z456"/>
  <c r="AA455"/>
  <c r="AQ455" s="1"/>
  <c r="K455" s="1"/>
  <c r="Z455"/>
  <c r="AA454"/>
  <c r="Z454"/>
  <c r="Z453"/>
  <c r="Z452"/>
  <c r="AQ450"/>
  <c r="K450" s="1"/>
  <c r="Z450"/>
  <c r="A440"/>
  <c r="U439"/>
  <c r="V450"/>
  <c r="V460" s="1"/>
  <c r="T439"/>
  <c r="AA431"/>
  <c r="Z431"/>
  <c r="AA430"/>
  <c r="Z430"/>
  <c r="Z429"/>
  <c r="AA428"/>
  <c r="Z428"/>
  <c r="AA427"/>
  <c r="AQ427" s="1"/>
  <c r="K427" s="1"/>
  <c r="Z427"/>
  <c r="Z426"/>
  <c r="Z425"/>
  <c r="AQ423"/>
  <c r="K423" s="1"/>
  <c r="Z423"/>
  <c r="V423"/>
  <c r="V433" s="1"/>
  <c r="E416"/>
  <c r="E414"/>
  <c r="T428" s="1"/>
  <c r="A413"/>
  <c r="U412"/>
  <c r="T412"/>
  <c r="AA404"/>
  <c r="Z404"/>
  <c r="AA403"/>
  <c r="Z403"/>
  <c r="Z402"/>
  <c r="AA401"/>
  <c r="Z401"/>
  <c r="AA400"/>
  <c r="Z400"/>
  <c r="Z399"/>
  <c r="Z398"/>
  <c r="AQ396"/>
  <c r="K396" s="1"/>
  <c r="Z396"/>
  <c r="V396"/>
  <c r="V406" s="1"/>
  <c r="E389"/>
  <c r="E387"/>
  <c r="T401" s="1"/>
  <c r="A386"/>
  <c r="U385"/>
  <c r="T385"/>
  <c r="AA377"/>
  <c r="Z377"/>
  <c r="AA376"/>
  <c r="Z376"/>
  <c r="Z375"/>
  <c r="AA374"/>
  <c r="AQ374" s="1"/>
  <c r="Z374"/>
  <c r="AA373"/>
  <c r="AQ373" s="1"/>
  <c r="Z373"/>
  <c r="Z372"/>
  <c r="Z371"/>
  <c r="AQ369"/>
  <c r="K369"/>
  <c r="Z369"/>
  <c r="V369"/>
  <c r="V379" s="1"/>
  <c r="E362"/>
  <c r="E360"/>
  <c r="T371" s="1"/>
  <c r="A359"/>
  <c r="U358"/>
  <c r="T358"/>
  <c r="AA350"/>
  <c r="Z350"/>
  <c r="AA349"/>
  <c r="Z349"/>
  <c r="Z348"/>
  <c r="AA347"/>
  <c r="AQ347"/>
  <c r="K347" s="1"/>
  <c r="Z347"/>
  <c r="AA346"/>
  <c r="Z346"/>
  <c r="Z345"/>
  <c r="Z344"/>
  <c r="AQ342"/>
  <c r="K342" s="1"/>
  <c r="Z342"/>
  <c r="A332"/>
  <c r="U331"/>
  <c r="V342"/>
  <c r="V352" s="1"/>
  <c r="T331"/>
  <c r="AA323"/>
  <c r="Z323"/>
  <c r="AA322"/>
  <c r="Z322"/>
  <c r="Z321"/>
  <c r="AA320"/>
  <c r="AQ320" s="1"/>
  <c r="K320" s="1"/>
  <c r="Z320"/>
  <c r="AA319"/>
  <c r="Z319"/>
  <c r="Z318"/>
  <c r="Z317"/>
  <c r="AQ315"/>
  <c r="K315" s="1"/>
  <c r="Z315"/>
  <c r="A305"/>
  <c r="U304"/>
  <c r="E306"/>
  <c r="T304"/>
  <c r="AA296"/>
  <c r="Z296"/>
  <c r="AA295"/>
  <c r="Z295"/>
  <c r="Z294"/>
  <c r="AA293"/>
  <c r="AQ293" s="1"/>
  <c r="K293"/>
  <c r="Z293"/>
  <c r="AA292"/>
  <c r="Z292"/>
  <c r="Z291"/>
  <c r="Z290"/>
  <c r="AQ288"/>
  <c r="K288" s="1"/>
  <c r="Z288"/>
  <c r="A278"/>
  <c r="U277"/>
  <c r="V288"/>
  <c r="V298" s="1"/>
  <c r="T277"/>
  <c r="AA269"/>
  <c r="Z269"/>
  <c r="AA268"/>
  <c r="Z268"/>
  <c r="Z267"/>
  <c r="AA266"/>
  <c r="AQ266" s="1"/>
  <c r="K266" s="1"/>
  <c r="Z266"/>
  <c r="AA265"/>
  <c r="AQ265" s="1"/>
  <c r="K265" s="1"/>
  <c r="Z265"/>
  <c r="Z264"/>
  <c r="Z263"/>
  <c r="AQ261"/>
  <c r="K261" s="1"/>
  <c r="Z261"/>
  <c r="V261"/>
  <c r="V271" s="1"/>
  <c r="E254"/>
  <c r="E252"/>
  <c r="T265" s="1"/>
  <c r="A251"/>
  <c r="U250"/>
  <c r="T250"/>
  <c r="AA242"/>
  <c r="Z242"/>
  <c r="AA241"/>
  <c r="Z241"/>
  <c r="Z240"/>
  <c r="AA239"/>
  <c r="AQ239" s="1"/>
  <c r="K239" s="1"/>
  <c r="Z239"/>
  <c r="AA238"/>
  <c r="Z238"/>
  <c r="Z237"/>
  <c r="Z236"/>
  <c r="AQ234"/>
  <c r="K234" s="1"/>
  <c r="Z234"/>
  <c r="V234"/>
  <c r="V244" s="1"/>
  <c r="E227"/>
  <c r="E225"/>
  <c r="T234" s="1"/>
  <c r="A224"/>
  <c r="U223"/>
  <c r="T223"/>
  <c r="AA215"/>
  <c r="Z215"/>
  <c r="AA214"/>
  <c r="Z214"/>
  <c r="Z213"/>
  <c r="AA212"/>
  <c r="Z212"/>
  <c r="AA211"/>
  <c r="Z211"/>
  <c r="Z210"/>
  <c r="Z209"/>
  <c r="AQ207"/>
  <c r="K207" s="1"/>
  <c r="Z207"/>
  <c r="A197"/>
  <c r="U196"/>
  <c r="V207"/>
  <c r="V217" s="1"/>
  <c r="T196"/>
  <c r="AA188"/>
  <c r="Z188"/>
  <c r="AA187"/>
  <c r="Z187"/>
  <c r="Z186"/>
  <c r="AA185"/>
  <c r="Z185"/>
  <c r="AA184"/>
  <c r="Z184"/>
  <c r="Z183"/>
  <c r="Z182"/>
  <c r="AQ180"/>
  <c r="K180" s="1"/>
  <c r="Z180"/>
  <c r="A170"/>
  <c r="U169"/>
  <c r="E171"/>
  <c r="T182" s="1"/>
  <c r="T169"/>
  <c r="AA161"/>
  <c r="Z161"/>
  <c r="AA160"/>
  <c r="Z160"/>
  <c r="Z159"/>
  <c r="AA158"/>
  <c r="AQ158" s="1"/>
  <c r="Z158"/>
  <c r="AA157"/>
  <c r="AQ157" s="1"/>
  <c r="Z157"/>
  <c r="G157"/>
  <c r="Z156"/>
  <c r="G156"/>
  <c r="Z155"/>
  <c r="G155"/>
  <c r="AQ153"/>
  <c r="K153" s="1"/>
  <c r="Z153"/>
  <c r="G153"/>
  <c r="A143"/>
  <c r="U142"/>
  <c r="E144"/>
  <c r="T144" s="1"/>
  <c r="T142"/>
  <c r="AA134"/>
  <c r="AA133"/>
  <c r="Z132"/>
  <c r="AA131"/>
  <c r="AQ131"/>
  <c r="K131" s="1"/>
  <c r="Z131"/>
  <c r="AA130"/>
  <c r="AQ126"/>
  <c r="K126" s="1"/>
  <c r="A116"/>
  <c r="C89"/>
  <c r="C116" s="1"/>
  <c r="AA107"/>
  <c r="Z107"/>
  <c r="AA106"/>
  <c r="Z105"/>
  <c r="AA104"/>
  <c r="Z104"/>
  <c r="AA103"/>
  <c r="AQ103" s="1"/>
  <c r="AQ99"/>
  <c r="K99" s="1"/>
  <c r="A89"/>
  <c r="E441"/>
  <c r="T458" s="1"/>
  <c r="E333"/>
  <c r="T344" s="1"/>
  <c r="E198"/>
  <c r="T207" s="1"/>
  <c r="V180"/>
  <c r="V190" s="1"/>
  <c r="V315"/>
  <c r="V325" s="1"/>
  <c r="E1415"/>
  <c r="E279"/>
  <c r="T290" s="1"/>
  <c r="E2061"/>
  <c r="T2072" s="1"/>
  <c r="E497"/>
  <c r="E443"/>
  <c r="E335"/>
  <c r="E281"/>
  <c r="E173"/>
  <c r="R14" i="26"/>
  <c r="R15"/>
  <c r="R16" s="1"/>
  <c r="R17" s="1"/>
  <c r="R18" s="1"/>
  <c r="R19" s="1"/>
  <c r="R20" s="1"/>
  <c r="R21" s="1"/>
  <c r="R22" s="1"/>
  <c r="R23" s="1"/>
  <c r="M69" i="50"/>
  <c r="AQ72"/>
  <c r="K72" s="1"/>
  <c r="A62"/>
  <c r="R74" i="38"/>
  <c r="N74" s="1"/>
  <c r="R75"/>
  <c r="N75" s="1"/>
  <c r="R76"/>
  <c r="N76" s="1"/>
  <c r="R77"/>
  <c r="N77" s="1"/>
  <c r="R78"/>
  <c r="N78" s="1"/>
  <c r="R79"/>
  <c r="N79" s="1"/>
  <c r="R80"/>
  <c r="N80" s="1"/>
  <c r="R81"/>
  <c r="N81" s="1"/>
  <c r="R82"/>
  <c r="N82" s="1"/>
  <c r="R83"/>
  <c r="N83" s="1"/>
  <c r="R84"/>
  <c r="N84" s="1"/>
  <c r="R85"/>
  <c r="N85" s="1"/>
  <c r="R86"/>
  <c r="N86" s="1"/>
  <c r="R87"/>
  <c r="N87" s="1"/>
  <c r="R88"/>
  <c r="N88" s="1"/>
  <c r="R89"/>
  <c r="N89" s="1"/>
  <c r="R90"/>
  <c r="N90" s="1"/>
  <c r="R91"/>
  <c r="N91" s="1"/>
  <c r="R92"/>
  <c r="N92" s="1"/>
  <c r="R93"/>
  <c r="N93" s="1"/>
  <c r="R94"/>
  <c r="N94" s="1"/>
  <c r="R95"/>
  <c r="N95" s="1"/>
  <c r="R96"/>
  <c r="N96" s="1"/>
  <c r="R97"/>
  <c r="N97" s="1"/>
  <c r="R98"/>
  <c r="N98" s="1"/>
  <c r="R99"/>
  <c r="N99" s="1"/>
  <c r="R100"/>
  <c r="N100" s="1"/>
  <c r="R101"/>
  <c r="N101" s="1"/>
  <c r="R102"/>
  <c r="N102" s="1"/>
  <c r="R103"/>
  <c r="N103" s="1"/>
  <c r="R104"/>
  <c r="N104" s="1"/>
  <c r="R105"/>
  <c r="N105" s="1"/>
  <c r="R106"/>
  <c r="N106" s="1"/>
  <c r="R107"/>
  <c r="N107" s="1"/>
  <c r="R108"/>
  <c r="N108" s="1"/>
  <c r="R109"/>
  <c r="N109" s="1"/>
  <c r="R110"/>
  <c r="N110" s="1"/>
  <c r="R111"/>
  <c r="N111" s="1"/>
  <c r="R112"/>
  <c r="N112" s="1"/>
  <c r="R113"/>
  <c r="N113" s="1"/>
  <c r="R114"/>
  <c r="N114" s="1"/>
  <c r="R115"/>
  <c r="N115" s="1"/>
  <c r="R116"/>
  <c r="N116" s="1"/>
  <c r="R117"/>
  <c r="N117" s="1"/>
  <c r="R118"/>
  <c r="N118" s="1"/>
  <c r="R119"/>
  <c r="N119" s="1"/>
  <c r="R120"/>
  <c r="N120" s="1"/>
  <c r="R121"/>
  <c r="N121" s="1"/>
  <c r="R122"/>
  <c r="N122" s="1"/>
  <c r="R123"/>
  <c r="N123" s="1"/>
  <c r="R124"/>
  <c r="N124" s="1"/>
  <c r="R125"/>
  <c r="N125" s="1"/>
  <c r="R126"/>
  <c r="N126" s="1"/>
  <c r="R127"/>
  <c r="N127" s="1"/>
  <c r="R128"/>
  <c r="N128" s="1"/>
  <c r="R129"/>
  <c r="N129" s="1"/>
  <c r="R130"/>
  <c r="N130" s="1"/>
  <c r="R131"/>
  <c r="N131" s="1"/>
  <c r="R132"/>
  <c r="N132" s="1"/>
  <c r="R133"/>
  <c r="N133" s="1"/>
  <c r="R134"/>
  <c r="N134" s="1"/>
  <c r="R135"/>
  <c r="N135" s="1"/>
  <c r="R136"/>
  <c r="N136" s="1"/>
  <c r="R137"/>
  <c r="N137" s="1"/>
  <c r="R138"/>
  <c r="N138" s="1"/>
  <c r="R139"/>
  <c r="N139" s="1"/>
  <c r="R140"/>
  <c r="N140" s="1"/>
  <c r="R141"/>
  <c r="N141" s="1"/>
  <c r="R142"/>
  <c r="N142" s="1"/>
  <c r="R143"/>
  <c r="N143" s="1"/>
  <c r="R144"/>
  <c r="N144" s="1"/>
  <c r="R145"/>
  <c r="N145" s="1"/>
  <c r="T72"/>
  <c r="R148"/>
  <c r="J81" i="57"/>
  <c r="J194"/>
  <c r="J193"/>
  <c r="J192"/>
  <c r="J191"/>
  <c r="J190"/>
  <c r="J189"/>
  <c r="J188"/>
  <c r="J187"/>
  <c r="J186"/>
  <c r="J185"/>
  <c r="J184"/>
  <c r="J183"/>
  <c r="J182"/>
  <c r="J181"/>
  <c r="J170"/>
  <c r="J169"/>
  <c r="J168"/>
  <c r="J167"/>
  <c r="J166"/>
  <c r="J165"/>
  <c r="J164"/>
  <c r="J163"/>
  <c r="J162"/>
  <c r="J151"/>
  <c r="J150"/>
  <c r="J149"/>
  <c r="J148"/>
  <c r="J147"/>
  <c r="J146"/>
  <c r="J145"/>
  <c r="J144"/>
  <c r="J143"/>
  <c r="J142"/>
  <c r="J141"/>
  <c r="J140"/>
  <c r="J130"/>
  <c r="J129"/>
  <c r="J128"/>
  <c r="J113"/>
  <c r="J103"/>
  <c r="J102"/>
  <c r="J100"/>
  <c r="J99"/>
  <c r="J93"/>
  <c r="J89"/>
  <c r="J88"/>
  <c r="J84"/>
  <c r="J83"/>
  <c r="J82"/>
  <c r="J80"/>
  <c r="J79"/>
  <c r="J78"/>
  <c r="J77"/>
  <c r="J87"/>
  <c r="J86"/>
  <c r="J85"/>
  <c r="J92"/>
  <c r="J91"/>
  <c r="J90"/>
  <c r="J98"/>
  <c r="J97"/>
  <c r="J96"/>
  <c r="J95"/>
  <c r="J94"/>
  <c r="J101"/>
  <c r="J112"/>
  <c r="J111"/>
  <c r="J110"/>
  <c r="J109"/>
  <c r="J108"/>
  <c r="J107"/>
  <c r="J106"/>
  <c r="J105"/>
  <c r="J104"/>
  <c r="J127"/>
  <c r="J126"/>
  <c r="J125"/>
  <c r="J124"/>
  <c r="J123"/>
  <c r="J122"/>
  <c r="J121"/>
  <c r="J120"/>
  <c r="J119"/>
  <c r="J118"/>
  <c r="J117"/>
  <c r="J116"/>
  <c r="J115"/>
  <c r="J114"/>
  <c r="J139"/>
  <c r="J138"/>
  <c r="J137"/>
  <c r="J136"/>
  <c r="J135"/>
  <c r="J134"/>
  <c r="J133"/>
  <c r="J132"/>
  <c r="J131"/>
  <c r="J161"/>
  <c r="J160"/>
  <c r="J159"/>
  <c r="J158"/>
  <c r="J157"/>
  <c r="J156"/>
  <c r="J155"/>
  <c r="J154"/>
  <c r="J153"/>
  <c r="J152"/>
  <c r="J180"/>
  <c r="J179"/>
  <c r="J178"/>
  <c r="J177"/>
  <c r="J176"/>
  <c r="J175"/>
  <c r="J174"/>
  <c r="J173"/>
  <c r="J172"/>
  <c r="J171"/>
  <c r="J204"/>
  <c r="J203"/>
  <c r="J202"/>
  <c r="J201"/>
  <c r="J200"/>
  <c r="J199"/>
  <c r="J198"/>
  <c r="J197"/>
  <c r="J196"/>
  <c r="J19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1"/>
  <c r="K160"/>
  <c r="K159"/>
  <c r="K158"/>
  <c r="K157"/>
  <c r="K156"/>
  <c r="K155"/>
  <c r="K154"/>
  <c r="K153"/>
  <c r="K152"/>
  <c r="K151"/>
  <c r="K150"/>
  <c r="K149"/>
  <c r="K148"/>
  <c r="K147"/>
  <c r="K146"/>
  <c r="K145"/>
  <c r="K144"/>
  <c r="K143"/>
  <c r="K142"/>
  <c r="K141"/>
  <c r="K140"/>
  <c r="K139"/>
  <c r="K138"/>
  <c r="K137"/>
  <c r="K136"/>
  <c r="K135"/>
  <c r="K134"/>
  <c r="K133"/>
  <c r="K132"/>
  <c r="K131"/>
  <c r="K130"/>
  <c r="K116"/>
  <c r="K113"/>
  <c r="K112"/>
  <c r="K111"/>
  <c r="K110"/>
  <c r="K109"/>
  <c r="K108"/>
  <c r="K107"/>
  <c r="K106"/>
  <c r="K105"/>
  <c r="K104"/>
  <c r="K103"/>
  <c r="K102"/>
  <c r="K101"/>
  <c r="K100"/>
  <c r="K99"/>
  <c r="K98"/>
  <c r="K97"/>
  <c r="K96"/>
  <c r="K95"/>
  <c r="K94"/>
  <c r="K93"/>
  <c r="K92"/>
  <c r="K91"/>
  <c r="K90"/>
  <c r="K89"/>
  <c r="K88"/>
  <c r="K87"/>
  <c r="K86"/>
  <c r="K85"/>
  <c r="K84"/>
  <c r="K83"/>
  <c r="K82"/>
  <c r="K81"/>
  <c r="K80"/>
  <c r="K79"/>
  <c r="K78"/>
  <c r="K77"/>
  <c r="Q129" i="46"/>
  <c r="AW81" i="61"/>
  <c r="AV81"/>
  <c r="AR81"/>
  <c r="AF81"/>
  <c r="AB81"/>
  <c r="X81"/>
  <c r="U81"/>
  <c r="T81"/>
  <c r="Q81"/>
  <c r="H81"/>
  <c r="E81"/>
  <c r="D81"/>
  <c r="S346" i="58"/>
  <c r="S314"/>
  <c r="S282"/>
  <c r="S218"/>
  <c r="S186"/>
  <c r="S154"/>
  <c r="S122"/>
  <c r="S90"/>
  <c r="S58"/>
  <c r="R58"/>
  <c r="S337" i="46"/>
  <c r="S302"/>
  <c r="S267"/>
  <c r="S232"/>
  <c r="S197"/>
  <c r="S162"/>
  <c r="S127"/>
  <c r="S92"/>
  <c r="S57"/>
  <c r="S22"/>
  <c r="R22"/>
  <c r="M69" i="62"/>
  <c r="I69"/>
  <c r="AB26" i="38"/>
  <c r="AB27"/>
  <c r="AB28" s="1"/>
  <c r="AB29" s="1"/>
  <c r="AB30" s="1"/>
  <c r="Q363" i="46"/>
  <c r="Q362"/>
  <c r="Q361"/>
  <c r="Q328"/>
  <c r="Q327"/>
  <c r="Q326"/>
  <c r="Q293"/>
  <c r="Q292"/>
  <c r="Q291"/>
  <c r="Q258"/>
  <c r="Q257"/>
  <c r="Q256"/>
  <c r="Q223"/>
  <c r="Q222"/>
  <c r="Q221"/>
  <c r="Q188"/>
  <c r="Q187"/>
  <c r="Q186"/>
  <c r="Q153"/>
  <c r="Q152"/>
  <c r="Q151"/>
  <c r="Q83"/>
  <c r="Q82"/>
  <c r="Q81"/>
  <c r="Q116"/>
  <c r="Q118"/>
  <c r="Q117"/>
  <c r="Q47"/>
  <c r="Q48"/>
  <c r="Q46"/>
  <c r="Q63" i="37"/>
  <c r="Q65" s="1"/>
  <c r="Q66" s="1"/>
  <c r="Q67" s="1"/>
  <c r="Q68" s="1"/>
  <c r="Q69" s="1"/>
  <c r="P11" i="57"/>
  <c r="T337" i="46"/>
  <c r="T267"/>
  <c r="T232"/>
  <c r="T197"/>
  <c r="T162"/>
  <c r="T127"/>
  <c r="T92"/>
  <c r="T57"/>
  <c r="E22"/>
  <c r="AK30"/>
  <c r="AK31" s="1"/>
  <c r="T22"/>
  <c r="N338"/>
  <c r="AG337" s="1"/>
  <c r="N337"/>
  <c r="AF337" s="1"/>
  <c r="N268"/>
  <c r="AG267" s="1"/>
  <c r="N267"/>
  <c r="AF267" s="1"/>
  <c r="N233"/>
  <c r="AG232" s="1"/>
  <c r="N232"/>
  <c r="AF232" s="1"/>
  <c r="N198"/>
  <c r="AG197" s="1"/>
  <c r="N197"/>
  <c r="AF197" s="1"/>
  <c r="N163"/>
  <c r="AG162" s="1"/>
  <c r="N162"/>
  <c r="AF162" s="1"/>
  <c r="N128"/>
  <c r="AG127" s="1"/>
  <c r="N127"/>
  <c r="AF127" s="1"/>
  <c r="N93"/>
  <c r="AG92" s="1"/>
  <c r="N92"/>
  <c r="AF92" s="1"/>
  <c r="N58"/>
  <c r="AG57" s="1"/>
  <c r="N57"/>
  <c r="AF57" s="1"/>
  <c r="F70" i="62"/>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I148"/>
  <c r="M148"/>
  <c r="F149"/>
  <c r="F150"/>
  <c r="F151"/>
  <c r="F152"/>
  <c r="F153"/>
  <c r="F154"/>
  <c r="F155"/>
  <c r="F156"/>
  <c r="F157"/>
  <c r="F158"/>
  <c r="X91" i="38"/>
  <c r="E267" i="46"/>
  <c r="E232"/>
  <c r="E197"/>
  <c r="E162"/>
  <c r="Q162"/>
  <c r="E127"/>
  <c r="AK135"/>
  <c r="AK136" s="1"/>
  <c r="E92"/>
  <c r="Q92" s="1"/>
  <c r="R57"/>
  <c r="E57"/>
  <c r="BA96" i="61"/>
  <c r="AR94"/>
  <c r="C81"/>
  <c r="M81"/>
  <c r="Y81"/>
  <c r="AC81"/>
  <c r="AO81"/>
  <c r="M320" i="46"/>
  <c r="AC302"/>
  <c r="M42"/>
  <c r="AD22"/>
  <c r="M77"/>
  <c r="AD57"/>
  <c r="M112"/>
  <c r="AD92"/>
  <c r="M147"/>
  <c r="AD127"/>
  <c r="M182"/>
  <c r="AD162"/>
  <c r="M217"/>
  <c r="AD197"/>
  <c r="M252"/>
  <c r="AD232"/>
  <c r="M287"/>
  <c r="AD267"/>
  <c r="M357"/>
  <c r="AD337"/>
  <c r="M322"/>
  <c r="AD302"/>
  <c r="Z80" i="38"/>
  <c r="Z81"/>
  <c r="Z84"/>
  <c r="Z85"/>
  <c r="Z86"/>
  <c r="Z87"/>
  <c r="Z88"/>
  <c r="Z89"/>
  <c r="Z90"/>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X78"/>
  <c r="X79"/>
  <c r="X80"/>
  <c r="X81"/>
  <c r="X82"/>
  <c r="X83"/>
  <c r="X84"/>
  <c r="X85"/>
  <c r="X86"/>
  <c r="X87"/>
  <c r="X88"/>
  <c r="X89"/>
  <c r="X90"/>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T144"/>
  <c r="S144"/>
  <c r="T143"/>
  <c r="S143"/>
  <c r="T142"/>
  <c r="S142"/>
  <c r="T141"/>
  <c r="S141"/>
  <c r="T140"/>
  <c r="S140"/>
  <c r="T139"/>
  <c r="S139"/>
  <c r="T138"/>
  <c r="S138"/>
  <c r="T137"/>
  <c r="S137"/>
  <c r="T136"/>
  <c r="S136"/>
  <c r="T135"/>
  <c r="S135"/>
  <c r="T134"/>
  <c r="S134"/>
  <c r="T133"/>
  <c r="S133"/>
  <c r="T132"/>
  <c r="S132"/>
  <c r="T131"/>
  <c r="S131"/>
  <c r="T130"/>
  <c r="S130"/>
  <c r="T129"/>
  <c r="S129"/>
  <c r="T128"/>
  <c r="S128"/>
  <c r="T127"/>
  <c r="S127"/>
  <c r="T126"/>
  <c r="S126"/>
  <c r="T125"/>
  <c r="S125"/>
  <c r="T124"/>
  <c r="S124"/>
  <c r="T123"/>
  <c r="S123"/>
  <c r="T122"/>
  <c r="S122"/>
  <c r="T121"/>
  <c r="S121"/>
  <c r="T120"/>
  <c r="S120"/>
  <c r="AL371" i="58"/>
  <c r="E347"/>
  <c r="AE366"/>
  <c r="BD346" s="1"/>
  <c r="I363"/>
  <c r="I362"/>
  <c r="X360"/>
  <c r="AA352"/>
  <c r="V360"/>
  <c r="T352"/>
  <c r="T354" s="1"/>
  <c r="T355" s="1"/>
  <c r="T356" s="1"/>
  <c r="T357" s="1"/>
  <c r="T358" s="1"/>
  <c r="T359" s="1"/>
  <c r="T360" s="1"/>
  <c r="X359"/>
  <c r="AL358"/>
  <c r="AD358"/>
  <c r="K358" s="1"/>
  <c r="X358"/>
  <c r="AD357"/>
  <c r="K357"/>
  <c r="X357"/>
  <c r="X356"/>
  <c r="AD355"/>
  <c r="K355"/>
  <c r="X355"/>
  <c r="AD354"/>
  <c r="X354"/>
  <c r="X352"/>
  <c r="BG346"/>
  <c r="AS346"/>
  <c r="R346"/>
  <c r="AL339"/>
  <c r="E315"/>
  <c r="R328" s="1"/>
  <c r="AE334"/>
  <c r="BD314" s="1"/>
  <c r="AE333"/>
  <c r="BC314" s="1"/>
  <c r="I331"/>
  <c r="I330"/>
  <c r="X328"/>
  <c r="AA320"/>
  <c r="V328"/>
  <c r="T320"/>
  <c r="T322" s="1"/>
  <c r="T323" s="1"/>
  <c r="T324" s="1"/>
  <c r="T325" s="1"/>
  <c r="T326" s="1"/>
  <c r="T327" s="1"/>
  <c r="T328" s="1"/>
  <c r="X327"/>
  <c r="AL326"/>
  <c r="AD326"/>
  <c r="K326" s="1"/>
  <c r="X326"/>
  <c r="AD325"/>
  <c r="K325"/>
  <c r="X325"/>
  <c r="X324"/>
  <c r="AD323"/>
  <c r="K323"/>
  <c r="X323"/>
  <c r="AD322"/>
  <c r="K322" s="1"/>
  <c r="X322"/>
  <c r="X320"/>
  <c r="BG314"/>
  <c r="AS314"/>
  <c r="R314"/>
  <c r="AL307"/>
  <c r="M307" s="1"/>
  <c r="E283"/>
  <c r="R295" s="1"/>
  <c r="AE302"/>
  <c r="BD282" s="1"/>
  <c r="I299"/>
  <c r="I298"/>
  <c r="X296"/>
  <c r="AA288"/>
  <c r="V296"/>
  <c r="T288"/>
  <c r="T290" s="1"/>
  <c r="T291" s="1"/>
  <c r="T292" s="1"/>
  <c r="T293" s="1"/>
  <c r="T294" s="1"/>
  <c r="T295" s="1"/>
  <c r="T296" s="1"/>
  <c r="X295"/>
  <c r="AL294"/>
  <c r="AD294"/>
  <c r="K294"/>
  <c r="X294"/>
  <c r="AD293"/>
  <c r="K293" s="1"/>
  <c r="X293"/>
  <c r="X292"/>
  <c r="AD291"/>
  <c r="X291"/>
  <c r="AD290"/>
  <c r="K290" s="1"/>
  <c r="X290"/>
  <c r="X288"/>
  <c r="BG282"/>
  <c r="AS282"/>
  <c r="R282"/>
  <c r="AL275"/>
  <c r="AE270"/>
  <c r="BD250" s="1"/>
  <c r="I267"/>
  <c r="I266"/>
  <c r="AA256"/>
  <c r="V264"/>
  <c r="X263"/>
  <c r="AL262"/>
  <c r="AD262"/>
  <c r="K262"/>
  <c r="X262"/>
  <c r="AD261"/>
  <c r="K261" s="1"/>
  <c r="X261"/>
  <c r="AD259"/>
  <c r="AD258"/>
  <c r="K258" s="1"/>
  <c r="X256"/>
  <c r="BG250"/>
  <c r="AS250"/>
  <c r="AL243"/>
  <c r="E219"/>
  <c r="AE238"/>
  <c r="BD218" s="1"/>
  <c r="I235"/>
  <c r="I234"/>
  <c r="X232"/>
  <c r="Y232" s="1"/>
  <c r="AA224"/>
  <c r="V232"/>
  <c r="T224"/>
  <c r="T226" s="1"/>
  <c r="T227" s="1"/>
  <c r="T228" s="1"/>
  <c r="T229" s="1"/>
  <c r="T230" s="1"/>
  <c r="T231" s="1"/>
  <c r="T232" s="1"/>
  <c r="X231"/>
  <c r="Y231" s="1"/>
  <c r="AL230"/>
  <c r="AD230"/>
  <c r="K230" s="1"/>
  <c r="X230"/>
  <c r="AD229"/>
  <c r="K229"/>
  <c r="X229"/>
  <c r="X228"/>
  <c r="AD227"/>
  <c r="K227"/>
  <c r="X227"/>
  <c r="AD226"/>
  <c r="K226" s="1"/>
  <c r="X226"/>
  <c r="X224"/>
  <c r="BG218"/>
  <c r="AS218"/>
  <c r="R218"/>
  <c r="AL211"/>
  <c r="E187"/>
  <c r="AE206"/>
  <c r="BD186" s="1"/>
  <c r="I203"/>
  <c r="I202"/>
  <c r="X200"/>
  <c r="Y200" s="1"/>
  <c r="AA192"/>
  <c r="V200"/>
  <c r="T192"/>
  <c r="T194" s="1"/>
  <c r="T195" s="1"/>
  <c r="T196" s="1"/>
  <c r="T197" s="1"/>
  <c r="T198" s="1"/>
  <c r="T199" s="1"/>
  <c r="T200" s="1"/>
  <c r="X199"/>
  <c r="AL198"/>
  <c r="AD198"/>
  <c r="K198" s="1"/>
  <c r="X198"/>
  <c r="AD197"/>
  <c r="K197"/>
  <c r="X197"/>
  <c r="X196"/>
  <c r="AD195"/>
  <c r="K195"/>
  <c r="X195"/>
  <c r="AD194"/>
  <c r="K194" s="1"/>
  <c r="X194"/>
  <c r="X192"/>
  <c r="BG186"/>
  <c r="AS186"/>
  <c r="R186"/>
  <c r="AL179"/>
  <c r="R154"/>
  <c r="E155"/>
  <c r="R160" s="1"/>
  <c r="R165" s="1"/>
  <c r="R166" s="1"/>
  <c r="AA160"/>
  <c r="X164"/>
  <c r="T160"/>
  <c r="T162" s="1"/>
  <c r="T163" s="1"/>
  <c r="T164" s="1"/>
  <c r="T165" s="1"/>
  <c r="T166" s="1"/>
  <c r="T167" s="1"/>
  <c r="T168" s="1"/>
  <c r="X168"/>
  <c r="X167"/>
  <c r="AE174"/>
  <c r="BD154" s="1"/>
  <c r="I171"/>
  <c r="I170"/>
  <c r="V168"/>
  <c r="AL166"/>
  <c r="AD166"/>
  <c r="K166" s="1"/>
  <c r="X166"/>
  <c r="AD165"/>
  <c r="K165"/>
  <c r="X165"/>
  <c r="AD163"/>
  <c r="X163"/>
  <c r="AD162"/>
  <c r="K162" s="1"/>
  <c r="X162"/>
  <c r="X160"/>
  <c r="BG154"/>
  <c r="AS154"/>
  <c r="C90"/>
  <c r="BA83" i="61" s="1"/>
  <c r="F83" s="1"/>
  <c r="AL147" i="58"/>
  <c r="AA128"/>
  <c r="AA133" s="1"/>
  <c r="AF133" s="1"/>
  <c r="AG133" s="1"/>
  <c r="X132"/>
  <c r="AE142"/>
  <c r="BD122" s="1"/>
  <c r="I139"/>
  <c r="I138"/>
  <c r="V136"/>
  <c r="AL134"/>
  <c r="AD134"/>
  <c r="K134"/>
  <c r="AD133"/>
  <c r="K133"/>
  <c r="AD131"/>
  <c r="K131"/>
  <c r="X131"/>
  <c r="AD130"/>
  <c r="K130" s="1"/>
  <c r="X130"/>
  <c r="BG122"/>
  <c r="AS122"/>
  <c r="AL115"/>
  <c r="E91"/>
  <c r="R103" s="1"/>
  <c r="I107"/>
  <c r="I106"/>
  <c r="X104"/>
  <c r="AA96"/>
  <c r="V104"/>
  <c r="T96"/>
  <c r="T98" s="1"/>
  <c r="T99" s="1"/>
  <c r="T100" s="1"/>
  <c r="T101" s="1"/>
  <c r="T102" s="1"/>
  <c r="T103" s="1"/>
  <c r="T104" s="1"/>
  <c r="X103"/>
  <c r="AL102"/>
  <c r="AD102"/>
  <c r="K102"/>
  <c r="X102"/>
  <c r="AD101"/>
  <c r="K101" s="1"/>
  <c r="X101"/>
  <c r="X100"/>
  <c r="AD99"/>
  <c r="K99" s="1"/>
  <c r="X99"/>
  <c r="AD98"/>
  <c r="K98"/>
  <c r="X98"/>
  <c r="X96"/>
  <c r="BG90"/>
  <c r="AS90"/>
  <c r="R90"/>
  <c r="BA82" i="61"/>
  <c r="AR82" s="1"/>
  <c r="Z337" i="46"/>
  <c r="Z302"/>
  <c r="Z267"/>
  <c r="Z232"/>
  <c r="Z197"/>
  <c r="Z162"/>
  <c r="Z127"/>
  <c r="Z92"/>
  <c r="Z57"/>
  <c r="Z22"/>
  <c r="R269"/>
  <c r="AH267" s="1"/>
  <c r="R234"/>
  <c r="AH232" s="1"/>
  <c r="R199"/>
  <c r="AH197" s="1"/>
  <c r="R164"/>
  <c r="AH162" s="1"/>
  <c r="R129"/>
  <c r="AH127" s="1"/>
  <c r="R94"/>
  <c r="AH92" s="1"/>
  <c r="R59"/>
  <c r="AH57" s="1"/>
  <c r="R364"/>
  <c r="L357"/>
  <c r="M355"/>
  <c r="AC337" s="1"/>
  <c r="R351"/>
  <c r="R341"/>
  <c r="AJ337"/>
  <c r="Q341"/>
  <c r="R340"/>
  <c r="AI337" s="1"/>
  <c r="Q339"/>
  <c r="AB337"/>
  <c r="AA337"/>
  <c r="Y337"/>
  <c r="X337"/>
  <c r="R329"/>
  <c r="L322"/>
  <c r="R306"/>
  <c r="AJ302"/>
  <c r="Q306"/>
  <c r="R305"/>
  <c r="AI302" s="1"/>
  <c r="Q305"/>
  <c r="Q304"/>
  <c r="AB302"/>
  <c r="AA302"/>
  <c r="Y302"/>
  <c r="X302"/>
  <c r="R294"/>
  <c r="L287"/>
  <c r="M285"/>
  <c r="AC267" s="1"/>
  <c r="R281"/>
  <c r="R271"/>
  <c r="AJ267"/>
  <c r="Q271"/>
  <c r="R270"/>
  <c r="AI267" s="1"/>
  <c r="Q270"/>
  <c r="Q269"/>
  <c r="AB267"/>
  <c r="AA267"/>
  <c r="Y267"/>
  <c r="X267"/>
  <c r="R267"/>
  <c r="R259"/>
  <c r="L252"/>
  <c r="M250"/>
  <c r="AC232"/>
  <c r="R246"/>
  <c r="R236"/>
  <c r="AJ232" s="1"/>
  <c r="Q236"/>
  <c r="R235"/>
  <c r="AI232"/>
  <c r="Q234"/>
  <c r="AB232"/>
  <c r="AA232"/>
  <c r="Y232"/>
  <c r="X232"/>
  <c r="R232"/>
  <c r="R224"/>
  <c r="L217"/>
  <c r="M215"/>
  <c r="AC197"/>
  <c r="R211"/>
  <c r="R201"/>
  <c r="AJ197" s="1"/>
  <c r="Q201"/>
  <c r="R200"/>
  <c r="AI197"/>
  <c r="Q200"/>
  <c r="Q199"/>
  <c r="AB197"/>
  <c r="AA197"/>
  <c r="Y197"/>
  <c r="X197"/>
  <c r="R197"/>
  <c r="R189"/>
  <c r="L182"/>
  <c r="M180"/>
  <c r="AC162" s="1"/>
  <c r="R176"/>
  <c r="R166"/>
  <c r="AJ162"/>
  <c r="Q166"/>
  <c r="R165"/>
  <c r="AI162" s="1"/>
  <c r="Q164"/>
  <c r="AB162"/>
  <c r="AA162"/>
  <c r="Y162"/>
  <c r="X162"/>
  <c r="R162"/>
  <c r="R154"/>
  <c r="L147"/>
  <c r="M145"/>
  <c r="AC127" s="1"/>
  <c r="R141"/>
  <c r="R131"/>
  <c r="AJ127"/>
  <c r="Q131"/>
  <c r="R130"/>
  <c r="AI127" s="1"/>
  <c r="Q130"/>
  <c r="AB127"/>
  <c r="AA127"/>
  <c r="Y127"/>
  <c r="X127"/>
  <c r="R127"/>
  <c r="R119"/>
  <c r="L112"/>
  <c r="M110"/>
  <c r="AC92" s="1"/>
  <c r="R106"/>
  <c r="R96"/>
  <c r="AJ92"/>
  <c r="Q96"/>
  <c r="R95"/>
  <c r="AI92" s="1"/>
  <c r="Q95"/>
  <c r="Q94"/>
  <c r="AB92"/>
  <c r="AA92"/>
  <c r="Y92"/>
  <c r="X92"/>
  <c r="R92"/>
  <c r="C57"/>
  <c r="R84"/>
  <c r="L77"/>
  <c r="M75"/>
  <c r="AC57" s="1"/>
  <c r="R71"/>
  <c r="R61"/>
  <c r="AJ57"/>
  <c r="Q61"/>
  <c r="R60"/>
  <c r="AI57" s="1"/>
  <c r="Q60"/>
  <c r="Q59"/>
  <c r="AB57"/>
  <c r="AA57"/>
  <c r="Y57"/>
  <c r="X57"/>
  <c r="R26"/>
  <c r="AJ22" s="1"/>
  <c r="Q26"/>
  <c r="R25"/>
  <c r="AI22"/>
  <c r="Q25"/>
  <c r="R27" i="28"/>
  <c r="W23" s="1"/>
  <c r="R26"/>
  <c r="V23" s="1"/>
  <c r="R29"/>
  <c r="U23" s="1"/>
  <c r="Q27"/>
  <c r="Q26"/>
  <c r="Q29"/>
  <c r="C131" i="57"/>
  <c r="C154"/>
  <c r="C153"/>
  <c r="C179"/>
  <c r="C178"/>
  <c r="C177"/>
  <c r="C176"/>
  <c r="C175"/>
  <c r="C174"/>
  <c r="C173"/>
  <c r="C172"/>
  <c r="C171"/>
  <c r="C160"/>
  <c r="C159"/>
  <c r="C158"/>
  <c r="C157"/>
  <c r="C156"/>
  <c r="C155"/>
  <c r="C152"/>
  <c r="C139"/>
  <c r="C138"/>
  <c r="C137"/>
  <c r="C136"/>
  <c r="C135"/>
  <c r="C134"/>
  <c r="C133"/>
  <c r="C132"/>
  <c r="C130"/>
  <c r="C203"/>
  <c r="C202"/>
  <c r="C201"/>
  <c r="C200"/>
  <c r="C199"/>
  <c r="C198"/>
  <c r="C197"/>
  <c r="C196"/>
  <c r="C195"/>
  <c r="AS58" i="58"/>
  <c r="AK107" i="61"/>
  <c r="AO107"/>
  <c r="AS107"/>
  <c r="AG94"/>
  <c r="AK94"/>
  <c r="AS94"/>
  <c r="BG58" i="58"/>
  <c r="F33" i="60"/>
  <c r="F32"/>
  <c r="R33"/>
  <c r="R32"/>
  <c r="C107" i="61"/>
  <c r="E107"/>
  <c r="M107"/>
  <c r="Y107"/>
  <c r="AC107"/>
  <c r="AV107"/>
  <c r="AW107"/>
  <c r="C94"/>
  <c r="D94"/>
  <c r="E94"/>
  <c r="I94"/>
  <c r="L94"/>
  <c r="Q94"/>
  <c r="T94"/>
  <c r="U94"/>
  <c r="X94"/>
  <c r="Y94"/>
  <c r="AB94"/>
  <c r="AC94"/>
  <c r="AF94"/>
  <c r="AW94"/>
  <c r="AB22" i="46"/>
  <c r="AA22"/>
  <c r="Y22"/>
  <c r="X22"/>
  <c r="T23" i="28"/>
  <c r="S23"/>
  <c r="B690" i="52"/>
  <c r="I10" i="60"/>
  <c r="I13"/>
  <c r="K8"/>
  <c r="K20"/>
  <c r="K19"/>
  <c r="K18"/>
  <c r="K17"/>
  <c r="K16"/>
  <c r="J16"/>
  <c r="J17"/>
  <c r="J18"/>
  <c r="J19"/>
  <c r="J20"/>
  <c r="E20"/>
  <c r="E19"/>
  <c r="E18"/>
  <c r="E17"/>
  <c r="E16"/>
  <c r="I12"/>
  <c r="R50" i="38"/>
  <c r="F62" i="9"/>
  <c r="F44"/>
  <c r="F45"/>
  <c r="F46"/>
  <c r="Q165" i="38"/>
  <c r="L42" i="46"/>
  <c r="Q164" i="38"/>
  <c r="Q163"/>
  <c r="Q162"/>
  <c r="Q161"/>
  <c r="I64" i="58"/>
  <c r="AL70"/>
  <c r="AL83"/>
  <c r="I75"/>
  <c r="I74"/>
  <c r="AE77"/>
  <c r="BC58"/>
  <c r="AD69"/>
  <c r="K69"/>
  <c r="AD70"/>
  <c r="K70"/>
  <c r="AD67"/>
  <c r="K67"/>
  <c r="AD66"/>
  <c r="V72"/>
  <c r="AA64"/>
  <c r="AE78"/>
  <c r="BD58" s="1"/>
  <c r="AL464" i="52"/>
  <c r="S76" i="38"/>
  <c r="T76"/>
  <c r="X76"/>
  <c r="S77"/>
  <c r="T77"/>
  <c r="X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45"/>
  <c r="T145"/>
  <c r="T71"/>
  <c r="S71"/>
  <c r="AA80" i="50"/>
  <c r="AA79"/>
  <c r="AA77"/>
  <c r="AQ77" s="1"/>
  <c r="K77" s="1"/>
  <c r="Z77"/>
  <c r="AA76"/>
  <c r="D415" i="52"/>
  <c r="D463" s="1"/>
  <c r="D511" s="1"/>
  <c r="D559" s="1"/>
  <c r="D607" s="1"/>
  <c r="D655" s="1"/>
  <c r="C140" i="57"/>
  <c r="C113"/>
  <c r="G166" i="58"/>
  <c r="M40" i="46"/>
  <c r="AC22"/>
  <c r="B34" i="52"/>
  <c r="E162" i="57"/>
  <c r="B35" i="52"/>
  <c r="P115" i="57"/>
  <c r="C181"/>
  <c r="G484" i="52"/>
  <c r="G546"/>
  <c r="G580"/>
  <c r="C204" i="57"/>
  <c r="C194"/>
  <c r="C193"/>
  <c r="C192"/>
  <c r="C191"/>
  <c r="C190"/>
  <c r="C189"/>
  <c r="C188"/>
  <c r="C187"/>
  <c r="C186"/>
  <c r="C185"/>
  <c r="C184"/>
  <c r="C183"/>
  <c r="C182"/>
  <c r="C180"/>
  <c r="C170"/>
  <c r="C169"/>
  <c r="C168"/>
  <c r="C167"/>
  <c r="C166"/>
  <c r="C165"/>
  <c r="C164"/>
  <c r="C163"/>
  <c r="C162"/>
  <c r="C161"/>
  <c r="C151"/>
  <c r="C150"/>
  <c r="C149"/>
  <c r="C148"/>
  <c r="C147"/>
  <c r="C146"/>
  <c r="C145"/>
  <c r="C144"/>
  <c r="C143"/>
  <c r="C142"/>
  <c r="C141"/>
  <c r="C129"/>
  <c r="C128"/>
  <c r="C127"/>
  <c r="C126"/>
  <c r="C125"/>
  <c r="C124"/>
  <c r="C123"/>
  <c r="C122"/>
  <c r="C121"/>
  <c r="C120"/>
  <c r="C119"/>
  <c r="C117"/>
  <c r="C116"/>
  <c r="C115"/>
  <c r="C114"/>
  <c r="C112"/>
  <c r="C111"/>
  <c r="C110"/>
  <c r="C109"/>
  <c r="C108"/>
  <c r="C107"/>
  <c r="C106"/>
  <c r="C105"/>
  <c r="C104"/>
  <c r="C103"/>
  <c r="C102"/>
  <c r="C101"/>
  <c r="C100"/>
  <c r="C99"/>
  <c r="C98"/>
  <c r="C97"/>
  <c r="C96"/>
  <c r="C95"/>
  <c r="C94"/>
  <c r="C93"/>
  <c r="C92"/>
  <c r="C91"/>
  <c r="C90"/>
  <c r="C89"/>
  <c r="C88"/>
  <c r="C87"/>
  <c r="C86"/>
  <c r="C85"/>
  <c r="C84"/>
  <c r="C83"/>
  <c r="C82"/>
  <c r="C81"/>
  <c r="C80"/>
  <c r="C79"/>
  <c r="C78"/>
  <c r="C77"/>
  <c r="X71" i="38"/>
  <c r="B42" i="52"/>
  <c r="X75" i="38"/>
  <c r="X74"/>
  <c r="X73"/>
  <c r="X72"/>
  <c r="B41" i="52"/>
  <c r="B33"/>
  <c r="G113" i="57"/>
  <c r="B301" i="52"/>
  <c r="B300"/>
  <c r="B299"/>
  <c r="B297"/>
  <c r="B296"/>
  <c r="B291"/>
  <c r="B290"/>
  <c r="B288"/>
  <c r="B287"/>
  <c r="B286"/>
  <c r="B285"/>
  <c r="B284"/>
  <c r="B283"/>
  <c r="B282"/>
  <c r="B281"/>
  <c r="B279"/>
  <c r="B278"/>
  <c r="B277"/>
  <c r="B274"/>
  <c r="N27" i="38"/>
  <c r="L17" i="60" s="1"/>
  <c r="Z27" i="38"/>
  <c r="J47"/>
  <c r="J45"/>
  <c r="J44"/>
  <c r="J43"/>
  <c r="J42"/>
  <c r="Q156"/>
  <c r="Q157"/>
  <c r="Q158"/>
  <c r="Q159"/>
  <c r="Q160"/>
  <c r="B689" i="52"/>
  <c r="J46" i="38"/>
  <c r="Z584" i="52"/>
  <c r="Z583"/>
  <c r="Z582"/>
  <c r="Z580"/>
  <c r="Z579"/>
  <c r="Z578"/>
  <c r="Z577"/>
  <c r="Z576"/>
  <c r="Z563"/>
  <c r="Z561"/>
  <c r="Z560"/>
  <c r="Z558"/>
  <c r="Z555"/>
  <c r="AG555" s="1"/>
  <c r="Z553"/>
  <c r="Z552"/>
  <c r="Z549"/>
  <c r="Z548"/>
  <c r="Z547"/>
  <c r="Z546"/>
  <c r="Z545"/>
  <c r="H188" i="38"/>
  <c r="G464" i="52"/>
  <c r="G553"/>
  <c r="N401"/>
  <c r="N449"/>
  <c r="S72" i="38"/>
  <c r="S73"/>
  <c r="S74"/>
  <c r="S75"/>
  <c r="AJ685" i="52"/>
  <c r="AJ663"/>
  <c r="AJ677"/>
  <c r="AJ671"/>
  <c r="AJ668"/>
  <c r="AJ667"/>
  <c r="AJ664"/>
  <c r="AJ660"/>
  <c r="AJ658"/>
  <c r="AJ655"/>
  <c r="AJ652"/>
  <c r="AK597"/>
  <c r="AJ597"/>
  <c r="AN595"/>
  <c r="AK595"/>
  <c r="AJ595"/>
  <c r="AN594"/>
  <c r="AK594"/>
  <c r="AJ594"/>
  <c r="AN536"/>
  <c r="AJ536"/>
  <c r="AN535"/>
  <c r="AL535"/>
  <c r="AJ535"/>
  <c r="AN534"/>
  <c r="AL534"/>
  <c r="AJ534"/>
  <c r="AN532"/>
  <c r="AL532"/>
  <c r="AJ532"/>
  <c r="AN531"/>
  <c r="AJ531"/>
  <c r="AN528"/>
  <c r="AL528"/>
  <c r="AJ528"/>
  <c r="AN515"/>
  <c r="AL515"/>
  <c r="AJ515"/>
  <c r="AN512"/>
  <c r="AL512"/>
  <c r="AJ512"/>
  <c r="AN510"/>
  <c r="AL510"/>
  <c r="AJ510"/>
  <c r="AN504"/>
  <c r="AL504"/>
  <c r="AJ504"/>
  <c r="AN500"/>
  <c r="AL500"/>
  <c r="AJ500"/>
  <c r="AN494"/>
  <c r="AN456"/>
  <c r="AL494"/>
  <c r="AJ494"/>
  <c r="AN482"/>
  <c r="AL482"/>
  <c r="AJ482"/>
  <c r="AN481"/>
  <c r="AL481"/>
  <c r="AJ481"/>
  <c r="AN465"/>
  <c r="AL465"/>
  <c r="AJ465"/>
  <c r="AN459"/>
  <c r="AL459"/>
  <c r="AJ459"/>
  <c r="AN453"/>
  <c r="AL453"/>
  <c r="AJ453"/>
  <c r="AN451"/>
  <c r="AL451"/>
  <c r="AJ451"/>
  <c r="AN450"/>
  <c r="AL450"/>
  <c r="AJ450"/>
  <c r="AK421"/>
  <c r="AJ437"/>
  <c r="AN434"/>
  <c r="AL434"/>
  <c r="AJ434"/>
  <c r="AN433"/>
  <c r="AL433"/>
  <c r="AJ433"/>
  <c r="AK425"/>
  <c r="AJ425"/>
  <c r="AJ424"/>
  <c r="AJ418"/>
  <c r="AN417"/>
  <c r="AL417"/>
  <c r="AJ417"/>
  <c r="AJ415"/>
  <c r="AK413"/>
  <c r="AJ413"/>
  <c r="AJ412"/>
  <c r="AN411"/>
  <c r="AL411"/>
  <c r="AJ411"/>
  <c r="AN405"/>
  <c r="AL405"/>
  <c r="AN403"/>
  <c r="AL403"/>
  <c r="AJ403"/>
  <c r="AN402"/>
  <c r="AL402"/>
  <c r="AJ402"/>
  <c r="G584"/>
  <c r="G583"/>
  <c r="G582"/>
  <c r="X582" s="1"/>
  <c r="G579"/>
  <c r="G578"/>
  <c r="X578" s="1"/>
  <c r="G577"/>
  <c r="G576"/>
  <c r="G563"/>
  <c r="G561"/>
  <c r="N561" s="1"/>
  <c r="G560"/>
  <c r="G558"/>
  <c r="G555"/>
  <c r="G552"/>
  <c r="G549"/>
  <c r="G548"/>
  <c r="G547"/>
  <c r="G545"/>
  <c r="Z488"/>
  <c r="Z487"/>
  <c r="Z486"/>
  <c r="Z484"/>
  <c r="Z483"/>
  <c r="Z480"/>
  <c r="Z467"/>
  <c r="Z462"/>
  <c r="Z459"/>
  <c r="Z457"/>
  <c r="Z456"/>
  <c r="Z453"/>
  <c r="AG449"/>
  <c r="AG401"/>
  <c r="G488"/>
  <c r="G487"/>
  <c r="G486"/>
  <c r="G483"/>
  <c r="X483" s="1"/>
  <c r="G480"/>
  <c r="G467"/>
  <c r="X467" s="1"/>
  <c r="G462"/>
  <c r="G457"/>
  <c r="G456"/>
  <c r="G453"/>
  <c r="F179" i="38"/>
  <c r="F178"/>
  <c r="G178" s="1"/>
  <c r="F177"/>
  <c r="F176"/>
  <c r="H182"/>
  <c r="F175"/>
  <c r="F61" i="9"/>
  <c r="F63"/>
  <c r="B28" i="54"/>
  <c r="B27"/>
  <c r="C3"/>
  <c r="F64" i="9" s="1"/>
  <c r="B26" i="54"/>
  <c r="B25"/>
  <c r="B24"/>
  <c r="B23"/>
  <c r="B22"/>
  <c r="B21"/>
  <c r="B20"/>
  <c r="T73" i="38"/>
  <c r="T74"/>
  <c r="T75"/>
  <c r="U27"/>
  <c r="U28"/>
  <c r="U29"/>
  <c r="U30"/>
  <c r="U26"/>
  <c r="V26"/>
  <c r="W26" s="1"/>
  <c r="V28"/>
  <c r="W28" s="1"/>
  <c r="V30"/>
  <c r="W30" s="1"/>
  <c r="V27"/>
  <c r="W27" s="1"/>
  <c r="V29"/>
  <c r="W29" s="1"/>
  <c r="H187"/>
  <c r="H186"/>
  <c r="H185"/>
  <c r="H184"/>
  <c r="H183"/>
  <c r="A402" i="52"/>
  <c r="A450"/>
  <c r="A498" s="1"/>
  <c r="A546" s="1"/>
  <c r="A594" s="1"/>
  <c r="A642" s="1"/>
  <c r="A403"/>
  <c r="A451"/>
  <c r="A499" s="1"/>
  <c r="A547" s="1"/>
  <c r="A595" s="1"/>
  <c r="A643"/>
  <c r="A404"/>
  <c r="A452"/>
  <c r="A500" s="1"/>
  <c r="A548" s="1"/>
  <c r="A596" s="1"/>
  <c r="A644" s="1"/>
  <c r="A405"/>
  <c r="A453"/>
  <c r="A501" s="1"/>
  <c r="A549" s="1"/>
  <c r="A597" s="1"/>
  <c r="A645"/>
  <c r="A406"/>
  <c r="A454"/>
  <c r="A502" s="1"/>
  <c r="A550" s="1"/>
  <c r="A598" s="1"/>
  <c r="A646" s="1"/>
  <c r="A407"/>
  <c r="A455"/>
  <c r="A503" s="1"/>
  <c r="A551" s="1"/>
  <c r="A599" s="1"/>
  <c r="A647"/>
  <c r="A408"/>
  <c r="A456"/>
  <c r="A504" s="1"/>
  <c r="A552" s="1"/>
  <c r="A600" s="1"/>
  <c r="A648" s="1"/>
  <c r="A409"/>
  <c r="A457"/>
  <c r="A505" s="1"/>
  <c r="A553" s="1"/>
  <c r="A601" s="1"/>
  <c r="A649"/>
  <c r="A410"/>
  <c r="A458"/>
  <c r="A506" s="1"/>
  <c r="A554" s="1"/>
  <c r="A602" s="1"/>
  <c r="A650" s="1"/>
  <c r="A411"/>
  <c r="A459"/>
  <c r="A507" s="1"/>
  <c r="A555" s="1"/>
  <c r="A603" s="1"/>
  <c r="A651"/>
  <c r="A412"/>
  <c r="A460"/>
  <c r="A508" s="1"/>
  <c r="A556" s="1"/>
  <c r="A604" s="1"/>
  <c r="A652" s="1"/>
  <c r="A413"/>
  <c r="A461"/>
  <c r="A509" s="1"/>
  <c r="A557" s="1"/>
  <c r="A605" s="1"/>
  <c r="A653"/>
  <c r="A414"/>
  <c r="A462"/>
  <c r="A510" s="1"/>
  <c r="A558" s="1"/>
  <c r="A606" s="1"/>
  <c r="A654" s="1"/>
  <c r="A415"/>
  <c r="A463"/>
  <c r="A511" s="1"/>
  <c r="A559" s="1"/>
  <c r="A607" s="1"/>
  <c r="A655"/>
  <c r="A416"/>
  <c r="A464"/>
  <c r="A512" s="1"/>
  <c r="A560" s="1"/>
  <c r="A608" s="1"/>
  <c r="A656" s="1"/>
  <c r="A417"/>
  <c r="A465"/>
  <c r="A513" s="1"/>
  <c r="A561" s="1"/>
  <c r="A609" s="1"/>
  <c r="A657"/>
  <c r="A418"/>
  <c r="A466"/>
  <c r="A514" s="1"/>
  <c r="A562" s="1"/>
  <c r="A610" s="1"/>
  <c r="A658" s="1"/>
  <c r="A419"/>
  <c r="A467"/>
  <c r="A515" s="1"/>
  <c r="A563" s="1"/>
  <c r="A611" s="1"/>
  <c r="A659"/>
  <c r="A420"/>
  <c r="A468"/>
  <c r="A516" s="1"/>
  <c r="A564" s="1"/>
  <c r="A612" s="1"/>
  <c r="A660" s="1"/>
  <c r="A421"/>
  <c r="A469"/>
  <c r="A517" s="1"/>
  <c r="A565" s="1"/>
  <c r="A613" s="1"/>
  <c r="A661"/>
  <c r="A422"/>
  <c r="A470"/>
  <c r="A518" s="1"/>
  <c r="A566" s="1"/>
  <c r="A614" s="1"/>
  <c r="A662" s="1"/>
  <c r="A423"/>
  <c r="A471"/>
  <c r="A519" s="1"/>
  <c r="A567" s="1"/>
  <c r="A615" s="1"/>
  <c r="A663"/>
  <c r="A424"/>
  <c r="A472"/>
  <c r="A520" s="1"/>
  <c r="A568" s="1"/>
  <c r="A616" s="1"/>
  <c r="A664" s="1"/>
  <c r="A425"/>
  <c r="A473"/>
  <c r="A521" s="1"/>
  <c r="A569" s="1"/>
  <c r="A617" s="1"/>
  <c r="A665"/>
  <c r="A426"/>
  <c r="A474"/>
  <c r="A522" s="1"/>
  <c r="A570" s="1"/>
  <c r="A618" s="1"/>
  <c r="A666" s="1"/>
  <c r="A427"/>
  <c r="A475"/>
  <c r="A523" s="1"/>
  <c r="A571" s="1"/>
  <c r="A619" s="1"/>
  <c r="A667"/>
  <c r="A428"/>
  <c r="A476"/>
  <c r="A524" s="1"/>
  <c r="A572" s="1"/>
  <c r="A620" s="1"/>
  <c r="A668" s="1"/>
  <c r="A429"/>
  <c r="A477"/>
  <c r="A525" s="1"/>
  <c r="A573" s="1"/>
  <c r="A621" s="1"/>
  <c r="A669"/>
  <c r="A430"/>
  <c r="A478"/>
  <c r="A526" s="1"/>
  <c r="A574" s="1"/>
  <c r="A622" s="1"/>
  <c r="A670" s="1"/>
  <c r="A431"/>
  <c r="A479"/>
  <c r="A527" s="1"/>
  <c r="A575" s="1"/>
  <c r="A623" s="1"/>
  <c r="A671"/>
  <c r="A432"/>
  <c r="A480"/>
  <c r="A528" s="1"/>
  <c r="A576" s="1"/>
  <c r="A624" s="1"/>
  <c r="A672" s="1"/>
  <c r="A433"/>
  <c r="A481"/>
  <c r="A529" s="1"/>
  <c r="A577" s="1"/>
  <c r="A625" s="1"/>
  <c r="A673"/>
  <c r="A434"/>
  <c r="A482"/>
  <c r="A530" s="1"/>
  <c r="A578" s="1"/>
  <c r="A626" s="1"/>
  <c r="A674" s="1"/>
  <c r="A435"/>
  <c r="A483"/>
  <c r="A531" s="1"/>
  <c r="A579" s="1"/>
  <c r="A627" s="1"/>
  <c r="A675"/>
  <c r="A436"/>
  <c r="A484"/>
  <c r="A532" s="1"/>
  <c r="A580" s="1"/>
  <c r="A628" s="1"/>
  <c r="A676" s="1"/>
  <c r="A437"/>
  <c r="A485"/>
  <c r="A533" s="1"/>
  <c r="A581" s="1"/>
  <c r="A629" s="1"/>
  <c r="A677"/>
  <c r="A438"/>
  <c r="A486"/>
  <c r="A534" s="1"/>
  <c r="A582" s="1"/>
  <c r="A630" s="1"/>
  <c r="A678" s="1"/>
  <c r="A439"/>
  <c r="A487"/>
  <c r="A535" s="1"/>
  <c r="A583" s="1"/>
  <c r="A631" s="1"/>
  <c r="A679"/>
  <c r="A440"/>
  <c r="A488"/>
  <c r="A536" s="1"/>
  <c r="A584" s="1"/>
  <c r="A632" s="1"/>
  <c r="A680" s="1"/>
  <c r="A441"/>
  <c r="A489"/>
  <c r="A537" s="1"/>
  <c r="A585" s="1"/>
  <c r="A633" s="1"/>
  <c r="A681"/>
  <c r="A442"/>
  <c r="A490"/>
  <c r="A538" s="1"/>
  <c r="A586" s="1"/>
  <c r="A634" s="1"/>
  <c r="A682" s="1"/>
  <c r="A401"/>
  <c r="A449"/>
  <c r="A497" s="1"/>
  <c r="A545" s="1"/>
  <c r="A593" s="1"/>
  <c r="A641"/>
  <c r="G459"/>
  <c r="E59" i="58"/>
  <c r="W68" s="1"/>
  <c r="X71"/>
  <c r="X69"/>
  <c r="X70"/>
  <c r="K66"/>
  <c r="R36" i="46"/>
  <c r="X72" i="58"/>
  <c r="T64"/>
  <c r="T66"/>
  <c r="T67" s="1"/>
  <c r="T68" s="1"/>
  <c r="T69" s="1"/>
  <c r="T70" s="1"/>
  <c r="T71" s="1"/>
  <c r="T72" s="1"/>
  <c r="X64"/>
  <c r="X67"/>
  <c r="R337" i="46"/>
  <c r="E337"/>
  <c r="Z77" i="38"/>
  <c r="N29"/>
  <c r="L19" i="60" s="1"/>
  <c r="N30" i="38"/>
  <c r="L20" i="60" s="1"/>
  <c r="Z28" i="38"/>
  <c r="Z30"/>
  <c r="N28"/>
  <c r="L18" i="60" s="1"/>
  <c r="Z29" i="38"/>
  <c r="K163" i="58"/>
  <c r="K259"/>
  <c r="K291"/>
  <c r="K354"/>
  <c r="R122"/>
  <c r="Z79" i="38"/>
  <c r="E123" i="58"/>
  <c r="W131" s="1"/>
  <c r="T128"/>
  <c r="T130" s="1"/>
  <c r="T131" s="1"/>
  <c r="T132" s="1"/>
  <c r="T133" s="1"/>
  <c r="T134" s="1"/>
  <c r="T135" s="1"/>
  <c r="T136" s="1"/>
  <c r="X136"/>
  <c r="X135"/>
  <c r="Z75" i="38"/>
  <c r="X128" i="58"/>
  <c r="Z76" i="38"/>
  <c r="X133" i="58"/>
  <c r="Z78" i="38"/>
  <c r="X134" i="58"/>
  <c r="R302" i="46"/>
  <c r="E302"/>
  <c r="V302" s="1"/>
  <c r="R316"/>
  <c r="Z91" i="38"/>
  <c r="R339" i="46"/>
  <c r="AH337" s="1"/>
  <c r="Z82" i="38"/>
  <c r="Z83"/>
  <c r="T302" i="46"/>
  <c r="R320"/>
  <c r="AE302" s="1"/>
  <c r="N303"/>
  <c r="AG302" s="1"/>
  <c r="N302"/>
  <c r="AF302" s="1"/>
  <c r="R304"/>
  <c r="AH302" s="1"/>
  <c r="R24"/>
  <c r="AH22" s="1"/>
  <c r="N22"/>
  <c r="AF22" s="1"/>
  <c r="N23"/>
  <c r="AG22" s="1"/>
  <c r="F35"/>
  <c r="F245"/>
  <c r="G70" i="58"/>
  <c r="A237" i="52"/>
  <c r="X68" i="58"/>
  <c r="X66"/>
  <c r="G66"/>
  <c r="R49" i="46"/>
  <c r="AK577" i="52"/>
  <c r="AK548"/>
  <c r="AK555"/>
  <c r="AK560"/>
  <c r="B437"/>
  <c r="B485" s="1"/>
  <c r="B533" s="1"/>
  <c r="B581" s="1"/>
  <c r="B629" s="1"/>
  <c r="B677" s="1"/>
  <c r="G67" i="58"/>
  <c r="G294"/>
  <c r="G167"/>
  <c r="G357"/>
  <c r="G322"/>
  <c r="G231"/>
  <c r="G200"/>
  <c r="G194"/>
  <c r="G98"/>
  <c r="G227"/>
  <c r="G69"/>
  <c r="G132"/>
  <c r="G354"/>
  <c r="G296"/>
  <c r="G199"/>
  <c r="G102"/>
  <c r="G360"/>
  <c r="F140" i="46"/>
  <c r="L434" i="52"/>
  <c r="S250" i="58"/>
  <c r="R250"/>
  <c r="AA402" i="52"/>
  <c r="G101" i="58"/>
  <c r="G228"/>
  <c r="G262"/>
  <c r="F105" i="46"/>
  <c r="G328" i="58"/>
  <c r="G195"/>
  <c r="G197"/>
  <c r="G130"/>
  <c r="G198"/>
  <c r="A229" i="52"/>
  <c r="F175" i="46"/>
  <c r="G162" i="58"/>
  <c r="G325"/>
  <c r="G293"/>
  <c r="G263"/>
  <c r="G226"/>
  <c r="G196"/>
  <c r="G356"/>
  <c r="G99"/>
  <c r="G291"/>
  <c r="G103"/>
  <c r="G134"/>
  <c r="F315" i="46"/>
  <c r="E251" i="58"/>
  <c r="W259" s="1"/>
  <c r="T256"/>
  <c r="T258" s="1"/>
  <c r="T259" s="1"/>
  <c r="T260" s="1"/>
  <c r="T261" s="1"/>
  <c r="T262" s="1"/>
  <c r="T263" s="1"/>
  <c r="T264" s="1"/>
  <c r="Z93" i="38"/>
  <c r="Z74"/>
  <c r="Z92"/>
  <c r="X259" i="58"/>
  <c r="G259"/>
  <c r="X258"/>
  <c r="G258"/>
  <c r="X260"/>
  <c r="X264"/>
  <c r="G260"/>
  <c r="G355"/>
  <c r="Z78" i="50"/>
  <c r="Z80"/>
  <c r="G80"/>
  <c r="G78"/>
  <c r="E200"/>
  <c r="E308"/>
  <c r="Z106"/>
  <c r="Z79"/>
  <c r="G79"/>
  <c r="AJ462" i="52"/>
  <c r="AL480"/>
  <c r="AF107" i="61"/>
  <c r="AB107"/>
  <c r="X107"/>
  <c r="T107"/>
  <c r="P107"/>
  <c r="D107"/>
  <c r="Q24" i="46"/>
  <c r="T1939" i="50"/>
  <c r="AV94" i="61"/>
  <c r="AR107"/>
  <c r="AN107"/>
  <c r="AJ107"/>
  <c r="Z26" i="38"/>
  <c r="N26"/>
  <c r="L16" i="60" s="1"/>
  <c r="G163" i="58"/>
  <c r="A221" i="52"/>
  <c r="A253"/>
  <c r="F70" i="46"/>
  <c r="G71" i="58"/>
  <c r="G64"/>
  <c r="G72"/>
  <c r="F350" i="46"/>
  <c r="G77" i="50"/>
  <c r="G326" i="58"/>
  <c r="G261"/>
  <c r="G324"/>
  <c r="G100"/>
  <c r="F280" i="46"/>
  <c r="G164" i="58"/>
  <c r="G290"/>
  <c r="G104"/>
  <c r="G135"/>
  <c r="G358"/>
  <c r="F210" i="46"/>
  <c r="A215" i="52"/>
  <c r="G68" i="58"/>
  <c r="G230"/>
  <c r="G292"/>
  <c r="G131"/>
  <c r="G133"/>
  <c r="G229"/>
  <c r="G168"/>
  <c r="G327"/>
  <c r="G295"/>
  <c r="G323"/>
  <c r="G359"/>
  <c r="G232"/>
  <c r="G165"/>
  <c r="G136"/>
  <c r="G264"/>
  <c r="I548" i="52"/>
  <c r="Q165" i="46"/>
  <c r="Q340"/>
  <c r="Q235"/>
  <c r="AV1453" i="50"/>
  <c r="BD882"/>
  <c r="BD720"/>
  <c r="BD722" s="1"/>
  <c r="BD612"/>
  <c r="BD180"/>
  <c r="A246" i="52"/>
  <c r="AQ536" i="50"/>
  <c r="G175" i="38"/>
  <c r="E2036" i="50"/>
  <c r="I179" i="38"/>
  <c r="T1268" i="50"/>
  <c r="T1265"/>
  <c r="T1251"/>
  <c r="Y1268" s="1"/>
  <c r="AY1268" s="1"/>
  <c r="AL483" i="52"/>
  <c r="AL484"/>
  <c r="AL488"/>
  <c r="AL456"/>
  <c r="AL457"/>
  <c r="AL452"/>
  <c r="AL467"/>
  <c r="AL462"/>
  <c r="F81" i="61"/>
  <c r="F107"/>
  <c r="F94"/>
  <c r="J94"/>
  <c r="J81"/>
  <c r="J107"/>
  <c r="N94"/>
  <c r="N81"/>
  <c r="N107"/>
  <c r="R81"/>
  <c r="R94"/>
  <c r="R107"/>
  <c r="V107"/>
  <c r="V94"/>
  <c r="V81"/>
  <c r="Z94"/>
  <c r="Z81"/>
  <c r="Z107"/>
  <c r="AD81"/>
  <c r="AD94"/>
  <c r="AD107"/>
  <c r="AH94"/>
  <c r="AH81"/>
  <c r="AH107"/>
  <c r="AL81"/>
  <c r="AL107"/>
  <c r="AL94"/>
  <c r="AP107"/>
  <c r="AP94"/>
  <c r="AP81"/>
  <c r="AT94"/>
  <c r="AT81"/>
  <c r="AT107"/>
  <c r="AX81"/>
  <c r="AX94"/>
  <c r="AX107"/>
  <c r="AM1722" i="50"/>
  <c r="AM1449"/>
  <c r="AM1025"/>
  <c r="AM1914"/>
  <c r="AM1294"/>
  <c r="AM1455"/>
  <c r="AM2047"/>
  <c r="AM566"/>
  <c r="AM509"/>
  <c r="AM724"/>
  <c r="AM752"/>
  <c r="AM238"/>
  <c r="AM1346"/>
  <c r="AM1290"/>
  <c r="AM1267"/>
  <c r="AM969"/>
  <c r="AM187"/>
  <c r="L319" i="46"/>
  <c r="L284"/>
  <c r="L214"/>
  <c r="L39"/>
  <c r="L109"/>
  <c r="Q24" i="28"/>
  <c r="D430" i="52"/>
  <c r="D478" s="1"/>
  <c r="D526" s="1"/>
  <c r="D574" s="1"/>
  <c r="D622" s="1"/>
  <c r="D670" s="1"/>
  <c r="K402"/>
  <c r="G81" i="61"/>
  <c r="G107"/>
  <c r="G94"/>
  <c r="O94"/>
  <c r="O107"/>
  <c r="O81"/>
  <c r="W81"/>
  <c r="W107"/>
  <c r="W94"/>
  <c r="AE81"/>
  <c r="AE94"/>
  <c r="AE107"/>
  <c r="AI81"/>
  <c r="AI107"/>
  <c r="AI94"/>
  <c r="AQ81"/>
  <c r="AQ107"/>
  <c r="AQ94"/>
  <c r="AY81"/>
  <c r="AY94"/>
  <c r="AY107"/>
  <c r="K81"/>
  <c r="K107"/>
  <c r="K94"/>
  <c r="S81"/>
  <c r="S107"/>
  <c r="S94"/>
  <c r="AA107"/>
  <c r="AA81"/>
  <c r="AA94"/>
  <c r="AM81"/>
  <c r="AM107"/>
  <c r="AM94"/>
  <c r="AU94"/>
  <c r="AU107"/>
  <c r="AU81"/>
  <c r="BC1773" i="50"/>
  <c r="BC1476"/>
  <c r="BC639"/>
  <c r="BC1827"/>
  <c r="BC1989"/>
  <c r="C92" i="46"/>
  <c r="G179" i="38"/>
  <c r="H179"/>
  <c r="J179"/>
  <c r="T1397" i="50"/>
  <c r="AN457" i="52"/>
  <c r="AJ653"/>
  <c r="AJ661"/>
  <c r="AJ665"/>
  <c r="AJ669"/>
  <c r="T1402" i="50"/>
  <c r="C143"/>
  <c r="E2063"/>
  <c r="AN484" i="52"/>
  <c r="AN483"/>
  <c r="AN467"/>
  <c r="AN462"/>
  <c r="AN488"/>
  <c r="AN487"/>
  <c r="AN480"/>
  <c r="V153" i="50"/>
  <c r="V163" s="1"/>
  <c r="K1277"/>
  <c r="T1293"/>
  <c r="T1938"/>
  <c r="T1935"/>
  <c r="T1937"/>
  <c r="AQ1319"/>
  <c r="AL487" i="52"/>
  <c r="AL486"/>
  <c r="AJ456"/>
  <c r="E146" i="50"/>
  <c r="C170"/>
  <c r="C197" s="1"/>
  <c r="G160" i="58"/>
  <c r="G288"/>
  <c r="G104" i="50"/>
  <c r="G131"/>
  <c r="G158"/>
  <c r="G180"/>
  <c r="G185"/>
  <c r="G207"/>
  <c r="G212"/>
  <c r="G234"/>
  <c r="G239"/>
  <c r="G261"/>
  <c r="G266"/>
  <c r="G288"/>
  <c r="G293"/>
  <c r="G315"/>
  <c r="G320"/>
  <c r="G342"/>
  <c r="G347"/>
  <c r="G369"/>
  <c r="G374"/>
  <c r="G396"/>
  <c r="G401"/>
  <c r="G423"/>
  <c r="G428"/>
  <c r="G450"/>
  <c r="G455"/>
  <c r="G477"/>
  <c r="G482"/>
  <c r="G504"/>
  <c r="G509"/>
  <c r="G531"/>
  <c r="G536"/>
  <c r="G558"/>
  <c r="G563"/>
  <c r="G585"/>
  <c r="G590"/>
  <c r="G612"/>
  <c r="G617"/>
  <c r="G639"/>
  <c r="G644"/>
  <c r="G666"/>
  <c r="G671"/>
  <c r="G693"/>
  <c r="G698"/>
  <c r="G720"/>
  <c r="G725"/>
  <c r="G747"/>
  <c r="G752"/>
  <c r="G774"/>
  <c r="G779"/>
  <c r="G801"/>
  <c r="G806"/>
  <c r="G828"/>
  <c r="G833"/>
  <c r="G855"/>
  <c r="G860"/>
  <c r="G882"/>
  <c r="G887"/>
  <c r="G909"/>
  <c r="G914"/>
  <c r="G2078"/>
  <c r="G2074"/>
  <c r="G2051"/>
  <c r="G2047"/>
  <c r="G2024"/>
  <c r="G2020"/>
  <c r="G1997"/>
  <c r="G1993"/>
  <c r="G1970"/>
  <c r="G1966"/>
  <c r="G1943"/>
  <c r="G1939"/>
  <c r="G1916"/>
  <c r="G1912"/>
  <c r="G1889"/>
  <c r="G1885"/>
  <c r="G1862"/>
  <c r="G1858"/>
  <c r="G1835"/>
  <c r="G1831"/>
  <c r="G1808"/>
  <c r="G1804"/>
  <c r="G1781"/>
  <c r="G1777"/>
  <c r="G1754"/>
  <c r="G1750"/>
  <c r="G1727"/>
  <c r="G1723"/>
  <c r="G1700"/>
  <c r="G1696"/>
  <c r="G1673"/>
  <c r="G1669"/>
  <c r="G1646"/>
  <c r="G1642"/>
  <c r="G1619"/>
  <c r="G1615"/>
  <c r="G1592"/>
  <c r="G1588"/>
  <c r="G1565"/>
  <c r="G1561"/>
  <c r="G1538"/>
  <c r="G1534"/>
  <c r="G1511"/>
  <c r="G1507"/>
  <c r="G1484"/>
  <c r="G1480"/>
  <c r="G1457"/>
  <c r="G1453"/>
  <c r="G1430"/>
  <c r="G1426"/>
  <c r="G1403"/>
  <c r="G1399"/>
  <c r="G1376"/>
  <c r="G1372"/>
  <c r="G1349"/>
  <c r="G1345"/>
  <c r="G1322"/>
  <c r="G1318"/>
  <c r="G1295"/>
  <c r="G1291"/>
  <c r="G1268"/>
  <c r="G1264"/>
  <c r="G1241"/>
  <c r="G1237"/>
  <c r="G1214"/>
  <c r="G1210"/>
  <c r="G1187"/>
  <c r="G1183"/>
  <c r="G1160"/>
  <c r="G1156"/>
  <c r="G1133"/>
  <c r="G1129"/>
  <c r="G1106"/>
  <c r="G1102"/>
  <c r="G1079"/>
  <c r="G1075"/>
  <c r="G1052"/>
  <c r="G1048"/>
  <c r="G1025"/>
  <c r="G1021"/>
  <c r="G998"/>
  <c r="G994"/>
  <c r="G971"/>
  <c r="G967"/>
  <c r="G944"/>
  <c r="G2077"/>
  <c r="G2073"/>
  <c r="G2050"/>
  <c r="G2046"/>
  <c r="G2023"/>
  <c r="G2019"/>
  <c r="G1996"/>
  <c r="G1992"/>
  <c r="G1969"/>
  <c r="G1965"/>
  <c r="G1942"/>
  <c r="G1938"/>
  <c r="G1915"/>
  <c r="G1911"/>
  <c r="G1888"/>
  <c r="G1884"/>
  <c r="G1861"/>
  <c r="G1857"/>
  <c r="G1834"/>
  <c r="G1830"/>
  <c r="G1807"/>
  <c r="G1803"/>
  <c r="G1780"/>
  <c r="G1776"/>
  <c r="G1753"/>
  <c r="G1749"/>
  <c r="G1726"/>
  <c r="G1722"/>
  <c r="G1699"/>
  <c r="G1695"/>
  <c r="G1672"/>
  <c r="G1668"/>
  <c r="G1645"/>
  <c r="G1641"/>
  <c r="G1618"/>
  <c r="G1614"/>
  <c r="G1591"/>
  <c r="G1587"/>
  <c r="G1564"/>
  <c r="G1560"/>
  <c r="G1537"/>
  <c r="G1533"/>
  <c r="G1510"/>
  <c r="G1506"/>
  <c r="G1483"/>
  <c r="G1479"/>
  <c r="G1456"/>
  <c r="G1452"/>
  <c r="G1429"/>
  <c r="G1425"/>
  <c r="G1402"/>
  <c r="G1398"/>
  <c r="G1375"/>
  <c r="G1371"/>
  <c r="G1348"/>
  <c r="G1344"/>
  <c r="G1321"/>
  <c r="G1317"/>
  <c r="G1294"/>
  <c r="G1290"/>
  <c r="G1267"/>
  <c r="G1263"/>
  <c r="G1240"/>
  <c r="G1236"/>
  <c r="G1213"/>
  <c r="G1209"/>
  <c r="G1186"/>
  <c r="G1182"/>
  <c r="G1159"/>
  <c r="G1155"/>
  <c r="G1132"/>
  <c r="G1128"/>
  <c r="G1105"/>
  <c r="G1101"/>
  <c r="G1078"/>
  <c r="G1074"/>
  <c r="G1051"/>
  <c r="G1047"/>
  <c r="G1024"/>
  <c r="G1020"/>
  <c r="G997"/>
  <c r="G993"/>
  <c r="G970"/>
  <c r="G966"/>
  <c r="G943"/>
  <c r="G2076"/>
  <c r="G2072"/>
  <c r="G2049"/>
  <c r="G2045"/>
  <c r="G2022"/>
  <c r="G2018"/>
  <c r="G1995"/>
  <c r="G1991"/>
  <c r="G1968"/>
  <c r="G1964"/>
  <c r="G1941"/>
  <c r="G1937"/>
  <c r="G1914"/>
  <c r="G1910"/>
  <c r="G1887"/>
  <c r="G1883"/>
  <c r="G1860"/>
  <c r="G1856"/>
  <c r="G1833"/>
  <c r="G1829"/>
  <c r="G1806"/>
  <c r="G1802"/>
  <c r="G1779"/>
  <c r="G1775"/>
  <c r="G1752"/>
  <c r="G1748"/>
  <c r="G1725"/>
  <c r="G1721"/>
  <c r="G1698"/>
  <c r="G1694"/>
  <c r="G1671"/>
  <c r="G1667"/>
  <c r="G1644"/>
  <c r="G1640"/>
  <c r="G1617"/>
  <c r="G1613"/>
  <c r="G1590"/>
  <c r="G1586"/>
  <c r="G1563"/>
  <c r="G1559"/>
  <c r="G1536"/>
  <c r="G1532"/>
  <c r="G1509"/>
  <c r="G1505"/>
  <c r="G1482"/>
  <c r="G1478"/>
  <c r="G1455"/>
  <c r="G1451"/>
  <c r="G1428"/>
  <c r="G1424"/>
  <c r="G1401"/>
  <c r="G1397"/>
  <c r="G1374"/>
  <c r="G1370"/>
  <c r="G1347"/>
  <c r="G1343"/>
  <c r="G1320"/>
  <c r="G1316"/>
  <c r="G1293"/>
  <c r="G1289"/>
  <c r="G1266"/>
  <c r="G1262"/>
  <c r="G1239"/>
  <c r="G1235"/>
  <c r="G1212"/>
  <c r="G1208"/>
  <c r="G1185"/>
  <c r="G1181"/>
  <c r="G1158"/>
  <c r="G1154"/>
  <c r="G1131"/>
  <c r="G1127"/>
  <c r="G1104"/>
  <c r="G1100"/>
  <c r="G1077"/>
  <c r="G1073"/>
  <c r="G1050"/>
  <c r="G1046"/>
  <c r="G1023"/>
  <c r="G1019"/>
  <c r="G996"/>
  <c r="G992"/>
  <c r="G969"/>
  <c r="G965"/>
  <c r="G942"/>
  <c r="G2075"/>
  <c r="G2070"/>
  <c r="G2048"/>
  <c r="G2043"/>
  <c r="G2021"/>
  <c r="G2016"/>
  <c r="G1994"/>
  <c r="G1989"/>
  <c r="G1967"/>
  <c r="G1962"/>
  <c r="G1940"/>
  <c r="G1935"/>
  <c r="G1913"/>
  <c r="G1908"/>
  <c r="G1886"/>
  <c r="G1881"/>
  <c r="G1859"/>
  <c r="G1854"/>
  <c r="G1832"/>
  <c r="G1827"/>
  <c r="G1805"/>
  <c r="G1800"/>
  <c r="G1778"/>
  <c r="G1773"/>
  <c r="G1751"/>
  <c r="G1746"/>
  <c r="G1724"/>
  <c r="G1719"/>
  <c r="G1697"/>
  <c r="G1692"/>
  <c r="G1670"/>
  <c r="G1665"/>
  <c r="G1643"/>
  <c r="G1638"/>
  <c r="G1616"/>
  <c r="G1611"/>
  <c r="G1589"/>
  <c r="G1584"/>
  <c r="G1562"/>
  <c r="G1557"/>
  <c r="G1535"/>
  <c r="G1530"/>
  <c r="G1508"/>
  <c r="G1503"/>
  <c r="G1481"/>
  <c r="G1476"/>
  <c r="G1454"/>
  <c r="G1449"/>
  <c r="G1427"/>
  <c r="G1422"/>
  <c r="G1400"/>
  <c r="G1395"/>
  <c r="G1373"/>
  <c r="G1368"/>
  <c r="G1346"/>
  <c r="G1341"/>
  <c r="G1319"/>
  <c r="G1314"/>
  <c r="G1292"/>
  <c r="G1287"/>
  <c r="G1265"/>
  <c r="G1260"/>
  <c r="G1238"/>
  <c r="G1233"/>
  <c r="G1211"/>
  <c r="G1206"/>
  <c r="G1184"/>
  <c r="G1179"/>
  <c r="G1157"/>
  <c r="G1152"/>
  <c r="G1130"/>
  <c r="G1125"/>
  <c r="G1103"/>
  <c r="G1098"/>
  <c r="G1076"/>
  <c r="G1071"/>
  <c r="G1049"/>
  <c r="G1044"/>
  <c r="G1022"/>
  <c r="G1017"/>
  <c r="G995"/>
  <c r="G990"/>
  <c r="G968"/>
  <c r="G963"/>
  <c r="G941"/>
  <c r="G128" i="58"/>
  <c r="G256"/>
  <c r="G105" i="50"/>
  <c r="G132"/>
  <c r="G159"/>
  <c r="G182"/>
  <c r="G186"/>
  <c r="G209"/>
  <c r="G213"/>
  <c r="G236"/>
  <c r="G240"/>
  <c r="G263"/>
  <c r="G267"/>
  <c r="G290"/>
  <c r="G294"/>
  <c r="G317"/>
  <c r="G321"/>
  <c r="G344"/>
  <c r="G348"/>
  <c r="G371"/>
  <c r="G375"/>
  <c r="G398"/>
  <c r="G402"/>
  <c r="G425"/>
  <c r="G429"/>
  <c r="G452"/>
  <c r="G456"/>
  <c r="G479"/>
  <c r="G483"/>
  <c r="G506"/>
  <c r="G510"/>
  <c r="G533"/>
  <c r="G537"/>
  <c r="G560"/>
  <c r="G564"/>
  <c r="G587"/>
  <c r="G591"/>
  <c r="G614"/>
  <c r="G618"/>
  <c r="G641"/>
  <c r="G645"/>
  <c r="G668"/>
  <c r="G672"/>
  <c r="G695"/>
  <c r="G699"/>
  <c r="G722"/>
  <c r="G726"/>
  <c r="G749"/>
  <c r="G753"/>
  <c r="G776"/>
  <c r="G780"/>
  <c r="G803"/>
  <c r="G807"/>
  <c r="G830"/>
  <c r="G834"/>
  <c r="G857"/>
  <c r="G861"/>
  <c r="G884"/>
  <c r="G888"/>
  <c r="G911"/>
  <c r="G915"/>
  <c r="G938"/>
  <c r="G96" i="58"/>
  <c r="G224"/>
  <c r="G352"/>
  <c r="G106" i="50"/>
  <c r="G160"/>
  <c r="G183"/>
  <c r="G187"/>
  <c r="G210"/>
  <c r="G214"/>
  <c r="G237"/>
  <c r="G241"/>
  <c r="G264"/>
  <c r="G268"/>
  <c r="G291"/>
  <c r="G295"/>
  <c r="G318"/>
  <c r="G322"/>
  <c r="G345"/>
  <c r="G349"/>
  <c r="G372"/>
  <c r="G376"/>
  <c r="G399"/>
  <c r="G403"/>
  <c r="G426"/>
  <c r="G430"/>
  <c r="G453"/>
  <c r="G457"/>
  <c r="G480"/>
  <c r="G484"/>
  <c r="G507"/>
  <c r="G511"/>
  <c r="G534"/>
  <c r="G538"/>
  <c r="G561"/>
  <c r="G565"/>
  <c r="G588"/>
  <c r="G592"/>
  <c r="G615"/>
  <c r="G619"/>
  <c r="G642"/>
  <c r="G646"/>
  <c r="G669"/>
  <c r="G673"/>
  <c r="G696"/>
  <c r="G700"/>
  <c r="G723"/>
  <c r="G727"/>
  <c r="G750"/>
  <c r="G754"/>
  <c r="G777"/>
  <c r="G781"/>
  <c r="G804"/>
  <c r="G808"/>
  <c r="G831"/>
  <c r="G835"/>
  <c r="G858"/>
  <c r="G862"/>
  <c r="G885"/>
  <c r="G889"/>
  <c r="G912"/>
  <c r="G916"/>
  <c r="G939"/>
  <c r="G192" i="58"/>
  <c r="G320"/>
  <c r="G107" i="50"/>
  <c r="G161"/>
  <c r="G184"/>
  <c r="G188"/>
  <c r="G211"/>
  <c r="G215"/>
  <c r="G238"/>
  <c r="G242"/>
  <c r="G265"/>
  <c r="G269"/>
  <c r="G292"/>
  <c r="G296"/>
  <c r="G319"/>
  <c r="G323"/>
  <c r="G346"/>
  <c r="G350"/>
  <c r="G373"/>
  <c r="G377"/>
  <c r="G400"/>
  <c r="G404"/>
  <c r="G427"/>
  <c r="G431"/>
  <c r="G454"/>
  <c r="G458"/>
  <c r="G481"/>
  <c r="G485"/>
  <c r="G508"/>
  <c r="G512"/>
  <c r="G535"/>
  <c r="G539"/>
  <c r="G562"/>
  <c r="G566"/>
  <c r="G589"/>
  <c r="G593"/>
  <c r="G616"/>
  <c r="G620"/>
  <c r="G643"/>
  <c r="G647"/>
  <c r="G670"/>
  <c r="G674"/>
  <c r="G697"/>
  <c r="G701"/>
  <c r="G724"/>
  <c r="G728"/>
  <c r="G751"/>
  <c r="G755"/>
  <c r="G778"/>
  <c r="G782"/>
  <c r="G805"/>
  <c r="G809"/>
  <c r="G832"/>
  <c r="G836"/>
  <c r="G859"/>
  <c r="G863"/>
  <c r="G886"/>
  <c r="G890"/>
  <c r="G913"/>
  <c r="G917"/>
  <c r="G940"/>
  <c r="T2046"/>
  <c r="T2043"/>
  <c r="H107" i="61"/>
  <c r="H94"/>
  <c r="C127" i="46"/>
  <c r="C162" s="1"/>
  <c r="H177" i="38"/>
  <c r="AM890" i="50"/>
  <c r="AM755"/>
  <c r="AM2022"/>
  <c r="F76" i="57"/>
  <c r="T720" i="50"/>
  <c r="AM1048"/>
  <c r="AM372"/>
  <c r="AM1673"/>
  <c r="AM261"/>
  <c r="AM1128"/>
  <c r="AM1856"/>
  <c r="AM943"/>
  <c r="AM673"/>
  <c r="AM1780"/>
  <c r="AM1935"/>
  <c r="AM457"/>
  <c r="AM641"/>
  <c r="AM74"/>
  <c r="AM215"/>
  <c r="AM537"/>
  <c r="AM1968"/>
  <c r="AM1642"/>
  <c r="AM936"/>
  <c r="AM1127"/>
  <c r="T1104"/>
  <c r="AM103"/>
  <c r="AM1020"/>
  <c r="AM1265"/>
  <c r="AM1773"/>
  <c r="AV1427"/>
  <c r="T1888"/>
  <c r="T1375"/>
  <c r="AM1615"/>
  <c r="AM963"/>
  <c r="AM889"/>
  <c r="AM1206"/>
  <c r="AM971"/>
  <c r="AM1939"/>
  <c r="AM1888"/>
  <c r="AM1179"/>
  <c r="AM2016"/>
  <c r="AM296"/>
  <c r="AM79"/>
  <c r="T1872"/>
  <c r="AM1240"/>
  <c r="AM1857"/>
  <c r="T398"/>
  <c r="AA434" i="52"/>
  <c r="AA420"/>
  <c r="AE294" i="50"/>
  <c r="T1089"/>
  <c r="Y1106" s="1"/>
  <c r="I579" i="52"/>
  <c r="BC1530" i="50"/>
  <c r="F26" i="60"/>
  <c r="AK552" i="52"/>
  <c r="BC612" i="50"/>
  <c r="AK549" i="52"/>
  <c r="BC1260" i="50"/>
  <c r="BC1264" s="1"/>
  <c r="R26" i="60"/>
  <c r="BC261" i="50"/>
  <c r="BC1638"/>
  <c r="AK563" i="52"/>
  <c r="K1358" i="50"/>
  <c r="AK1370" s="1"/>
  <c r="AV427"/>
  <c r="T1534"/>
  <c r="T1398"/>
  <c r="T1536"/>
  <c r="T1395"/>
  <c r="AA437" i="52"/>
  <c r="AG437" s="1"/>
  <c r="BD99" i="50"/>
  <c r="AA411" i="52"/>
  <c r="AA433"/>
  <c r="T873" i="50"/>
  <c r="Y886" s="1"/>
  <c r="AY886" s="1"/>
  <c r="BD747"/>
  <c r="T890"/>
  <c r="BD1287"/>
  <c r="BD1773"/>
  <c r="BD1449"/>
  <c r="T886"/>
  <c r="AA403" i="52"/>
  <c r="T1305" i="50"/>
  <c r="N365" i="52"/>
  <c r="AE1584" i="50"/>
  <c r="B401" i="52"/>
  <c r="B449" s="1"/>
  <c r="B497" s="1"/>
  <c r="B545" s="1"/>
  <c r="B593" s="1"/>
  <c r="B641" s="1"/>
  <c r="T970" i="50"/>
  <c r="AM563"/>
  <c r="AM1052"/>
  <c r="AM455"/>
  <c r="AM1965"/>
  <c r="AM1343"/>
  <c r="AM944"/>
  <c r="AM72"/>
  <c r="BC666"/>
  <c r="AM1451"/>
  <c r="AM484"/>
  <c r="AM1724"/>
  <c r="AM777"/>
  <c r="AM345"/>
  <c r="AM1457"/>
  <c r="AM1322"/>
  <c r="AM429"/>
  <c r="T912"/>
  <c r="BC1071"/>
  <c r="AM536"/>
  <c r="AM727"/>
  <c r="AM1317"/>
  <c r="AM101"/>
  <c r="AM565"/>
  <c r="AM1835"/>
  <c r="AM1374"/>
  <c r="AM80"/>
  <c r="T2047"/>
  <c r="AV1535"/>
  <c r="T1103"/>
  <c r="T1291"/>
  <c r="BC1854"/>
  <c r="T1239"/>
  <c r="AM214"/>
  <c r="AM1344"/>
  <c r="AM1289"/>
  <c r="AM801"/>
  <c r="AM428"/>
  <c r="AM1966"/>
  <c r="AM1293"/>
  <c r="T1102"/>
  <c r="AM398"/>
  <c r="AM533"/>
  <c r="AM1456"/>
  <c r="AM1241"/>
  <c r="AM102"/>
  <c r="AM1510"/>
  <c r="AM1158"/>
  <c r="I560" i="52"/>
  <c r="T1295" i="50"/>
  <c r="BC909"/>
  <c r="AM616"/>
  <c r="AM833"/>
  <c r="AM1994"/>
  <c r="AM858"/>
  <c r="AM209"/>
  <c r="AM185"/>
  <c r="AM1235"/>
  <c r="T888"/>
  <c r="T242"/>
  <c r="AV1885"/>
  <c r="BC990"/>
  <c r="AM1862"/>
  <c r="AM375"/>
  <c r="AM1776"/>
  <c r="AM994"/>
  <c r="AM430"/>
  <c r="AM693"/>
  <c r="AM1667"/>
  <c r="T884"/>
  <c r="C424" i="52"/>
  <c r="C472" s="1"/>
  <c r="C520" s="1"/>
  <c r="C568" s="1"/>
  <c r="AM1209" i="50"/>
  <c r="AM317"/>
  <c r="AM1422"/>
  <c r="AM913"/>
  <c r="AM269"/>
  <c r="AM477"/>
  <c r="AM1614"/>
  <c r="BE1341"/>
  <c r="T859"/>
  <c r="BC423"/>
  <c r="AM1481"/>
  <c r="AM666"/>
  <c r="AM1993"/>
  <c r="AM1321"/>
  <c r="AM539"/>
  <c r="AM725"/>
  <c r="AM1723"/>
  <c r="AM776"/>
  <c r="T1532"/>
  <c r="L144" i="46"/>
  <c r="AM480" i="50"/>
  <c r="AM267"/>
  <c r="AM1806"/>
  <c r="AM1530"/>
  <c r="AM1316"/>
  <c r="AM699"/>
  <c r="AM1808"/>
  <c r="T819"/>
  <c r="Y830" s="1"/>
  <c r="AY830" s="1"/>
  <c r="AM515" i="52"/>
  <c r="BC531" i="50"/>
  <c r="BC534" s="1"/>
  <c r="L179" i="46"/>
  <c r="AM350" i="50"/>
  <c r="AM508"/>
  <c r="AM1908"/>
  <c r="AM861"/>
  <c r="AM1854"/>
  <c r="AM781"/>
  <c r="AM2076"/>
  <c r="T831"/>
  <c r="K818"/>
  <c r="N818" s="1"/>
  <c r="BT818" s="1"/>
  <c r="AM105"/>
  <c r="AM1698"/>
  <c r="AM912"/>
  <c r="AM1781"/>
  <c r="T1427"/>
  <c r="BC720"/>
  <c r="L249" i="46"/>
  <c r="AM431" i="50"/>
  <c r="AM697"/>
  <c r="AM780"/>
  <c r="AM939"/>
  <c r="AM940"/>
  <c r="AM834"/>
  <c r="AM1430"/>
  <c r="T834"/>
  <c r="AM1775"/>
  <c r="AM1398"/>
  <c r="T1530"/>
  <c r="T1428"/>
  <c r="BC801"/>
  <c r="L354" i="46"/>
  <c r="AM212" i="50"/>
  <c r="AM402"/>
  <c r="AM593"/>
  <c r="AM1534"/>
  <c r="AM1051"/>
  <c r="AM454"/>
  <c r="AM1779"/>
  <c r="T836"/>
  <c r="W102" i="58"/>
  <c r="AA102" s="1"/>
  <c r="AE102" s="1"/>
  <c r="AX90" s="1"/>
  <c r="T1430" i="50"/>
  <c r="AM562"/>
  <c r="AM504"/>
  <c r="AM425"/>
  <c r="AM1915"/>
  <c r="AM995"/>
  <c r="AM507"/>
  <c r="AM1884"/>
  <c r="AM886"/>
  <c r="AM560"/>
  <c r="AM134"/>
  <c r="AM1671"/>
  <c r="AM1049"/>
  <c r="AM753"/>
  <c r="AM1913"/>
  <c r="AV1508"/>
  <c r="I563" i="52"/>
  <c r="AV644" i="50"/>
  <c r="K710"/>
  <c r="Q713" s="1"/>
  <c r="T1482"/>
  <c r="K1250"/>
  <c r="Q1250" s="1"/>
  <c r="BE207"/>
  <c r="BE504"/>
  <c r="BE693"/>
  <c r="T725"/>
  <c r="T724"/>
  <c r="BE1044"/>
  <c r="BE1287"/>
  <c r="T590"/>
  <c r="BE1071"/>
  <c r="BE2070"/>
  <c r="BE1638"/>
  <c r="BE1642" s="1"/>
  <c r="BE1854"/>
  <c r="T588"/>
  <c r="F361" i="52"/>
  <c r="F409" s="1"/>
  <c r="F457" s="1"/>
  <c r="F505" s="1"/>
  <c r="F553" s="1"/>
  <c r="F601" s="1"/>
  <c r="F649" s="1"/>
  <c r="T593" i="50"/>
  <c r="K575"/>
  <c r="Q575" s="1"/>
  <c r="F391" i="52"/>
  <c r="F439" s="1"/>
  <c r="F487" s="1"/>
  <c r="F535" s="1"/>
  <c r="F583" s="1"/>
  <c r="F631" s="1"/>
  <c r="F679" s="1"/>
  <c r="T591" i="50"/>
  <c r="T592"/>
  <c r="T727"/>
  <c r="T585"/>
  <c r="V92" i="46"/>
  <c r="T728" i="50"/>
  <c r="T1236"/>
  <c r="T711"/>
  <c r="Y722" s="1"/>
  <c r="AY722" s="1"/>
  <c r="U197" i="46"/>
  <c r="T1240" i="50"/>
  <c r="T1184"/>
  <c r="T726"/>
  <c r="K2060"/>
  <c r="T722"/>
  <c r="N377" i="52"/>
  <c r="E142" i="57"/>
  <c r="T1181" i="50"/>
  <c r="E193" i="57"/>
  <c r="T183" i="50"/>
  <c r="T1179"/>
  <c r="AM239"/>
  <c r="AM1695"/>
  <c r="AM1967"/>
  <c r="AM158"/>
  <c r="AM774"/>
  <c r="AM1024"/>
  <c r="AM1589"/>
  <c r="AM592"/>
  <c r="AM1804"/>
  <c r="AM2043"/>
  <c r="AM318"/>
  <c r="AM1482"/>
  <c r="AM1751"/>
  <c r="AM590"/>
  <c r="AM1640"/>
  <c r="AM992"/>
  <c r="AM1672"/>
  <c r="T1263"/>
  <c r="T1098"/>
  <c r="I561" i="52"/>
  <c r="F155" i="57"/>
  <c r="T187"/>
  <c r="L417" i="52"/>
  <c r="T188" i="50"/>
  <c r="T1966"/>
  <c r="T187"/>
  <c r="T1186"/>
  <c r="O391" i="52"/>
  <c r="E298" s="1"/>
  <c r="AM585" i="50"/>
  <c r="AM1561"/>
  <c r="AM1562"/>
  <c r="AM808"/>
  <c r="AM855"/>
  <c r="AM1079"/>
  <c r="AM1643"/>
  <c r="AM643"/>
  <c r="AM807"/>
  <c r="AM1563"/>
  <c r="AM377"/>
  <c r="AM1644"/>
  <c r="AM1802"/>
  <c r="AM618"/>
  <c r="AM1750"/>
  <c r="AM1071"/>
  <c r="AM1726"/>
  <c r="T1266"/>
  <c r="T1106"/>
  <c r="Z611" i="52"/>
  <c r="AG611" s="1"/>
  <c r="T1170" i="50"/>
  <c r="T1834"/>
  <c r="T1182"/>
  <c r="T778"/>
  <c r="P169" i="57"/>
  <c r="T1941" i="50"/>
  <c r="T1699"/>
  <c r="T1185"/>
  <c r="AM1480"/>
  <c r="AM2074"/>
  <c r="AM587"/>
  <c r="AM485"/>
  <c r="AM619"/>
  <c r="AM938"/>
  <c r="AM1938"/>
  <c r="AM182"/>
  <c r="AM1046"/>
  <c r="AM1887"/>
  <c r="AM615"/>
  <c r="AM1131"/>
  <c r="AM2046"/>
  <c r="AM806"/>
  <c r="AM1106"/>
  <c r="AM1287"/>
  <c r="AM1964"/>
  <c r="X364" i="52"/>
  <c r="AK582"/>
  <c r="T185" i="50"/>
  <c r="T1696"/>
  <c r="E111" i="57"/>
  <c r="T1695" i="50"/>
  <c r="T1943"/>
  <c r="P193" i="57"/>
  <c r="T1942" i="50"/>
  <c r="T1694"/>
  <c r="T1187"/>
  <c r="AM1314"/>
  <c r="AM342"/>
  <c r="AM645"/>
  <c r="AM130"/>
  <c r="AM778"/>
  <c r="AM970"/>
  <c r="AM2018"/>
  <c r="AM620"/>
  <c r="AM1105"/>
  <c r="AM1591"/>
  <c r="AM647"/>
  <c r="AM1616"/>
  <c r="AM1586"/>
  <c r="AM346"/>
  <c r="AM1159"/>
  <c r="AM1886"/>
  <c r="AM1996"/>
  <c r="T1565"/>
  <c r="Z598" i="52"/>
  <c r="AG598" s="1"/>
  <c r="AK579"/>
  <c r="T1183" i="50"/>
  <c r="T1683"/>
  <c r="AM1942"/>
  <c r="AM458"/>
  <c r="AM241"/>
  <c r="AM211"/>
  <c r="AM885"/>
  <c r="AM1078"/>
  <c r="AM2075"/>
  <c r="AM698"/>
  <c r="AM1186"/>
  <c r="AM1646"/>
  <c r="AM726"/>
  <c r="AM1883"/>
  <c r="AM1699"/>
  <c r="AM399"/>
  <c r="AM1210"/>
  <c r="AM2051"/>
  <c r="AM2050"/>
  <c r="Q93" i="46"/>
  <c r="T882" i="50"/>
  <c r="T360"/>
  <c r="AK578" i="52"/>
  <c r="T1035" i="50"/>
  <c r="P166" i="57"/>
  <c r="AM291" i="50"/>
  <c r="AM696"/>
  <c r="AM1319"/>
  <c r="AM723"/>
  <c r="AM1102"/>
  <c r="AM1827"/>
  <c r="AM242"/>
  <c r="AM701"/>
  <c r="AM1669"/>
  <c r="AM614"/>
  <c r="AM321"/>
  <c r="AM1208"/>
  <c r="AM2078"/>
  <c r="AM400"/>
  <c r="AM1587"/>
  <c r="AM1754"/>
  <c r="Q76" i="57"/>
  <c r="T833" i="50"/>
  <c r="T1754"/>
  <c r="AK561" i="52"/>
  <c r="AK583"/>
  <c r="AK547"/>
  <c r="T1052" i="50"/>
  <c r="T911"/>
  <c r="T909"/>
  <c r="W134" i="58"/>
  <c r="T916" i="50"/>
  <c r="AK100" i="46"/>
  <c r="AK101"/>
  <c r="I194" i="57"/>
  <c r="AM617" i="50"/>
  <c r="AM401"/>
  <c r="AM1214"/>
  <c r="AM369"/>
  <c r="AM862"/>
  <c r="AM1506"/>
  <c r="AM558"/>
  <c r="AM967"/>
  <c r="AM1295"/>
  <c r="AM265"/>
  <c r="AM456"/>
  <c r="AM1428"/>
  <c r="AM1916"/>
  <c r="AM538"/>
  <c r="AM998"/>
  <c r="AM1881"/>
  <c r="H76" i="57"/>
  <c r="T828" i="50"/>
  <c r="AK590" i="52"/>
  <c r="P189" i="57"/>
  <c r="I185"/>
  <c r="T917" i="50"/>
  <c r="AM132"/>
  <c r="AM668"/>
  <c r="AM1538"/>
  <c r="AM403"/>
  <c r="AM1182"/>
  <c r="AM1588"/>
  <c r="AM157"/>
  <c r="AM1022"/>
  <c r="AM1347"/>
  <c r="AM210"/>
  <c r="AM512"/>
  <c r="AM1537"/>
  <c r="AM1970"/>
  <c r="AM591"/>
  <c r="AM1047"/>
  <c r="AM1940"/>
  <c r="AM78"/>
  <c r="T835"/>
  <c r="AV1048"/>
  <c r="AK584" i="52"/>
  <c r="T396" i="50"/>
  <c r="T914"/>
  <c r="T774"/>
  <c r="AE1262"/>
  <c r="AM481"/>
  <c r="AM1507"/>
  <c r="AM1050"/>
  <c r="AM453"/>
  <c r="AM1237"/>
  <c r="AM1746"/>
  <c r="AM669"/>
  <c r="AM1155"/>
  <c r="AM1453"/>
  <c r="AM155"/>
  <c r="AM859"/>
  <c r="AM887"/>
  <c r="AM129"/>
  <c r="AM674"/>
  <c r="AM1263"/>
  <c r="AM2024"/>
  <c r="O76" i="57"/>
  <c r="T830" i="50"/>
  <c r="R128" i="58"/>
  <c r="R130" s="1"/>
  <c r="R131" s="1"/>
  <c r="T776" i="50"/>
  <c r="W128" i="58"/>
  <c r="U155"/>
  <c r="T1264" i="50"/>
  <c r="T1970"/>
  <c r="AM128"/>
  <c r="AM914"/>
  <c r="AM1133"/>
  <c r="AM1400"/>
  <c r="AM588"/>
  <c r="AM1395"/>
  <c r="AM1805"/>
  <c r="AM106"/>
  <c r="AM1292"/>
  <c r="AM1611"/>
  <c r="AM750"/>
  <c r="AM968"/>
  <c r="AM1019"/>
  <c r="AM263"/>
  <c r="AM863"/>
  <c r="AM1371"/>
  <c r="AM1590"/>
  <c r="T1615"/>
  <c r="A262" i="52"/>
  <c r="O456"/>
  <c r="Q456" s="1"/>
  <c r="W130" i="58"/>
  <c r="T1267" i="50"/>
  <c r="T1969"/>
  <c r="AM349"/>
  <c r="AM1160"/>
  <c r="AM1260"/>
  <c r="AM1700"/>
  <c r="AM160"/>
  <c r="AM1511"/>
  <c r="AM1912"/>
  <c r="AM186"/>
  <c r="AM1372"/>
  <c r="AM1668"/>
  <c r="AM183"/>
  <c r="AM1023"/>
  <c r="AM1125"/>
  <c r="AM320"/>
  <c r="AM911"/>
  <c r="AM1452"/>
  <c r="AM1697"/>
  <c r="AM1992"/>
  <c r="AK558" i="52"/>
  <c r="AK553"/>
  <c r="W135" i="58"/>
  <c r="T1260" i="50"/>
  <c r="K1952"/>
  <c r="N1953" s="1"/>
  <c r="BU1952" s="1"/>
  <c r="AM751"/>
  <c r="AM1565"/>
  <c r="AM1937"/>
  <c r="AM1721"/>
  <c r="AM213"/>
  <c r="AM1719"/>
  <c r="AM1962"/>
  <c r="AM292"/>
  <c r="AM1478"/>
  <c r="AM1749"/>
  <c r="AM295"/>
  <c r="AM1076"/>
  <c r="AM1183"/>
  <c r="AM374"/>
  <c r="AM942"/>
  <c r="AM1533"/>
  <c r="AM1753"/>
  <c r="AK580" i="52"/>
  <c r="W164" i="58"/>
  <c r="AM1397" i="50"/>
  <c r="AM1077"/>
  <c r="AM1638"/>
  <c r="AM2048"/>
  <c r="AM294"/>
  <c r="AM1997"/>
  <c r="AM2021"/>
  <c r="AM373"/>
  <c r="AM1617"/>
  <c r="AM1778"/>
  <c r="AM404"/>
  <c r="AM1157"/>
  <c r="AM1238"/>
  <c r="AM423"/>
  <c r="AM993"/>
  <c r="AM1560"/>
  <c r="AM1829"/>
  <c r="AK576" i="52"/>
  <c r="E84" i="57"/>
  <c r="K1373" i="50"/>
  <c r="W162" i="58"/>
  <c r="AA162" s="1"/>
  <c r="AM1021" i="50"/>
  <c r="AM1370"/>
  <c r="AM1860"/>
  <c r="AM1641"/>
  <c r="AM612"/>
  <c r="AM857"/>
  <c r="AM1885"/>
  <c r="AM426"/>
  <c r="AM1184"/>
  <c r="AM1831"/>
  <c r="AM511"/>
  <c r="AM1233"/>
  <c r="AM1399"/>
  <c r="AM450"/>
  <c r="AM1239"/>
  <c r="AM1991"/>
  <c r="T2078"/>
  <c r="AE1883"/>
  <c r="AE1829"/>
  <c r="M83" i="58"/>
  <c r="W101"/>
  <c r="AK101" s="1"/>
  <c r="M101" s="1"/>
  <c r="AE912" i="50"/>
  <c r="AE1640"/>
  <c r="AE101"/>
  <c r="BE153"/>
  <c r="H417" i="52"/>
  <c r="AE210" i="50"/>
  <c r="AE1884"/>
  <c r="W103" i="58"/>
  <c r="AA103" s="1"/>
  <c r="AE1746" i="50"/>
  <c r="AE1233"/>
  <c r="AE642"/>
  <c r="AE402"/>
  <c r="BE342"/>
  <c r="AE1722"/>
  <c r="AE426"/>
  <c r="AE1995"/>
  <c r="AE456"/>
  <c r="AA726"/>
  <c r="AH726" s="1"/>
  <c r="AE1455"/>
  <c r="AE348"/>
  <c r="AE423"/>
  <c r="U59" i="58"/>
  <c r="AP67" s="1"/>
  <c r="BE612" i="50"/>
  <c r="AV347"/>
  <c r="H434" i="52"/>
  <c r="T427" i="50"/>
  <c r="T805"/>
  <c r="AE264"/>
  <c r="AE504"/>
  <c r="AE804"/>
  <c r="T1347"/>
  <c r="K1871"/>
  <c r="Q1880" s="1"/>
  <c r="R167" i="58"/>
  <c r="T414" i="50"/>
  <c r="AC418" s="1"/>
  <c r="T804"/>
  <c r="AE375"/>
  <c r="AE317"/>
  <c r="AE1019"/>
  <c r="AJ549" i="52"/>
  <c r="T1332" i="50"/>
  <c r="Y1347" s="1"/>
  <c r="AY1347" s="1"/>
  <c r="T670"/>
  <c r="BE747"/>
  <c r="W163" i="58"/>
  <c r="AK163" s="1"/>
  <c r="M163" s="1"/>
  <c r="T809" i="50"/>
  <c r="AE561"/>
  <c r="AE372"/>
  <c r="AE1347"/>
  <c r="AJ580" i="52"/>
  <c r="T1159" i="50"/>
  <c r="T672"/>
  <c r="T801"/>
  <c r="AE777"/>
  <c r="AE237"/>
  <c r="AE1800"/>
  <c r="AJ547" i="52"/>
  <c r="T668" i="50"/>
  <c r="BE1125"/>
  <c r="T2073"/>
  <c r="AE1506"/>
  <c r="AE615"/>
  <c r="AJ555" i="52"/>
  <c r="O439"/>
  <c r="Q439"/>
  <c r="L313" i="46"/>
  <c r="R192" i="58"/>
  <c r="R194" s="1"/>
  <c r="R195" s="1"/>
  <c r="AE1260" i="50"/>
  <c r="AE1044"/>
  <c r="AB546" i="52"/>
  <c r="T1641" i="50"/>
  <c r="R263" i="58"/>
  <c r="L278" i="46"/>
  <c r="W326" i="58"/>
  <c r="AK326" s="1"/>
  <c r="M326" s="1"/>
  <c r="T803" i="50"/>
  <c r="AE1503"/>
  <c r="AE861"/>
  <c r="AE1206"/>
  <c r="AJ552" i="52"/>
  <c r="BE1098" i="50"/>
  <c r="AV724"/>
  <c r="T806"/>
  <c r="AE776"/>
  <c r="AJ584" i="52"/>
  <c r="N689"/>
  <c r="L243" i="46"/>
  <c r="AE1910" i="50"/>
  <c r="AE1098"/>
  <c r="AE884"/>
  <c r="AE2073"/>
  <c r="AJ578" i="52"/>
  <c r="T1645" i="50"/>
  <c r="BE909"/>
  <c r="Z682" i="52"/>
  <c r="AG682" s="1"/>
  <c r="O388"/>
  <c r="G217" i="38" s="1"/>
  <c r="AV1777" i="50"/>
  <c r="AE612"/>
  <c r="AE911"/>
  <c r="T669"/>
  <c r="W256" i="58"/>
  <c r="L208" i="46"/>
  <c r="W64" i="58"/>
  <c r="M64" s="1"/>
  <c r="AE1046" i="50"/>
  <c r="AE1887"/>
  <c r="AE1077"/>
  <c r="AE1152"/>
  <c r="T1629"/>
  <c r="Y1640" s="1"/>
  <c r="AY1640" s="1"/>
  <c r="BE882"/>
  <c r="B176" i="57"/>
  <c r="T202"/>
  <c r="T1885" i="50"/>
  <c r="G101" i="57"/>
  <c r="T263" i="50"/>
  <c r="W66" i="58"/>
  <c r="T2076" i="50"/>
  <c r="AE1533"/>
  <c r="AE1476"/>
  <c r="AE1964"/>
  <c r="AE1776"/>
  <c r="K737"/>
  <c r="BE1962"/>
  <c r="O180" i="57"/>
  <c r="AE882" i="50"/>
  <c r="AE1586"/>
  <c r="G79" i="57"/>
  <c r="AE1806" i="50"/>
  <c r="AE828"/>
  <c r="G99" i="57"/>
  <c r="T2061" i="50"/>
  <c r="AE969"/>
  <c r="AE1965"/>
  <c r="AE1505"/>
  <c r="AE1425"/>
  <c r="T749"/>
  <c r="T1884"/>
  <c r="K278"/>
  <c r="T2075"/>
  <c r="AE666"/>
  <c r="AE1587"/>
  <c r="AE1749"/>
  <c r="AE2016"/>
  <c r="T750"/>
  <c r="BE1476"/>
  <c r="L138" i="46"/>
  <c r="AE1398" i="50"/>
  <c r="L103" i="46"/>
  <c r="T1889" i="50"/>
  <c r="O487" i="52"/>
  <c r="Q487" s="1"/>
  <c r="W262" i="58"/>
  <c r="U91"/>
  <c r="L112" s="1"/>
  <c r="BE90" s="1"/>
  <c r="T2074" i="50"/>
  <c r="AE720"/>
  <c r="AE722"/>
  <c r="AE1803"/>
  <c r="AE1428"/>
  <c r="T755"/>
  <c r="BE1557"/>
  <c r="AE1721"/>
  <c r="AE885"/>
  <c r="AE858"/>
  <c r="T1076"/>
  <c r="T2070"/>
  <c r="AE1314"/>
  <c r="AE1536"/>
  <c r="AE2043"/>
  <c r="AE74"/>
  <c r="N406" i="52"/>
  <c r="T753" i="50"/>
  <c r="AA753"/>
  <c r="AH753" s="1"/>
  <c r="K1061"/>
  <c r="Q1070" s="1"/>
  <c r="AA597" i="52"/>
  <c r="R264" i="58"/>
  <c r="T2077" i="50"/>
  <c r="AE1773"/>
  <c r="AE1182"/>
  <c r="T1700"/>
  <c r="Y260" i="58"/>
  <c r="F368" i="52"/>
  <c r="F416" s="1"/>
  <c r="F464" s="1"/>
  <c r="F512" s="1"/>
  <c r="F560" s="1"/>
  <c r="F608" s="1"/>
  <c r="F656" s="1"/>
  <c r="Y1966" i="50"/>
  <c r="Y1964"/>
  <c r="AY1964" s="1"/>
  <c r="Y1965"/>
  <c r="AY1965" s="1"/>
  <c r="AC1957"/>
  <c r="Y1969"/>
  <c r="AY1969" s="1"/>
  <c r="Y1968"/>
  <c r="AY1968" s="1"/>
  <c r="AV1562"/>
  <c r="K1562"/>
  <c r="Z455" i="52"/>
  <c r="AG455" s="1"/>
  <c r="H130" i="57"/>
  <c r="Z612" i="52"/>
  <c r="AG612" s="1"/>
  <c r="Y1881" i="50"/>
  <c r="AV1778"/>
  <c r="T1775"/>
  <c r="AV887"/>
  <c r="Z565" i="52"/>
  <c r="AG565" s="1"/>
  <c r="G519"/>
  <c r="X519" s="1"/>
  <c r="AK310" i="46"/>
  <c r="AK311" s="1"/>
  <c r="S162" i="57"/>
  <c r="D130"/>
  <c r="Z680" i="52"/>
  <c r="AG680" s="1"/>
  <c r="N356"/>
  <c r="E77" i="57"/>
  <c r="T2019" i="50"/>
  <c r="T186"/>
  <c r="AV1966"/>
  <c r="T1781"/>
  <c r="AJ583" i="52"/>
  <c r="T1753" i="50"/>
  <c r="BE1314"/>
  <c r="S145" i="57"/>
  <c r="Z436" i="52"/>
  <c r="AG436" s="1"/>
  <c r="T1370" i="50"/>
  <c r="P105" i="57"/>
  <c r="A197"/>
  <c r="A203"/>
  <c r="O121"/>
  <c r="X413" i="52"/>
  <c r="E90" i="57"/>
  <c r="T1964" i="50"/>
  <c r="T1776"/>
  <c r="AJ548" i="52"/>
  <c r="T1667" i="50"/>
  <c r="BE288"/>
  <c r="BE1503"/>
  <c r="M183" i="57"/>
  <c r="X658" i="52"/>
  <c r="P124" i="57"/>
  <c r="H158"/>
  <c r="X505" i="52"/>
  <c r="Z621"/>
  <c r="AG621" s="1"/>
  <c r="Y78" i="38"/>
  <c r="G2099" i="50" s="1"/>
  <c r="G77" i="62" s="1"/>
  <c r="I80" i="57"/>
  <c r="S141"/>
  <c r="M136"/>
  <c r="E106"/>
  <c r="Q58" i="46"/>
  <c r="T1780" i="50"/>
  <c r="X553" i="52"/>
  <c r="S161" i="57"/>
  <c r="X548" i="52"/>
  <c r="Y144" i="38"/>
  <c r="G2165" i="50"/>
  <c r="G143" i="62" s="1"/>
  <c r="Z645" i="52"/>
  <c r="AG645" s="1"/>
  <c r="Y163" i="38"/>
  <c r="G386" i="46" s="1"/>
  <c r="M123" i="57"/>
  <c r="I135"/>
  <c r="E92"/>
  <c r="T345" i="50"/>
  <c r="Q57" i="46"/>
  <c r="T1778" i="50"/>
  <c r="S121" i="57"/>
  <c r="Q139"/>
  <c r="M134"/>
  <c r="R135" i="58"/>
  <c r="T1075" i="50"/>
  <c r="T1883"/>
  <c r="P183" i="57"/>
  <c r="T348" i="50"/>
  <c r="U315" i="58"/>
  <c r="T1967" i="50"/>
  <c r="I163" i="57"/>
  <c r="BE180" i="50"/>
  <c r="BE1179"/>
  <c r="L429" i="52"/>
  <c r="N429" s="1"/>
  <c r="M122" i="57"/>
  <c r="P153"/>
  <c r="E94"/>
  <c r="F136"/>
  <c r="U101"/>
  <c r="H106"/>
  <c r="D161"/>
  <c r="G177"/>
  <c r="P112"/>
  <c r="Y126" i="38"/>
  <c r="G2147" i="50" s="1"/>
  <c r="H2147" s="1"/>
  <c r="H125" i="62" s="1"/>
  <c r="Y161" i="38"/>
  <c r="G384" i="46" s="1"/>
  <c r="I94" i="57"/>
  <c r="R136" i="58"/>
  <c r="T455" i="50"/>
  <c r="T1887"/>
  <c r="W324" i="58"/>
  <c r="AA324" s="1"/>
  <c r="W325"/>
  <c r="T1962" i="50"/>
  <c r="I170" i="57"/>
  <c r="BE99" i="50"/>
  <c r="BE1800"/>
  <c r="H128" i="57"/>
  <c r="U154"/>
  <c r="E121"/>
  <c r="AV320" i="50"/>
  <c r="L157" i="57"/>
  <c r="N157" s="1"/>
  <c r="U103"/>
  <c r="M119"/>
  <c r="F188"/>
  <c r="B178"/>
  <c r="F371" i="52"/>
  <c r="F419" s="1"/>
  <c r="F467" s="1"/>
  <c r="F515" s="1"/>
  <c r="F563" s="1"/>
  <c r="F611" s="1"/>
  <c r="F659" s="1"/>
  <c r="T1078" i="50"/>
  <c r="AV1805"/>
  <c r="X437" i="52"/>
  <c r="S155" i="57"/>
  <c r="AV725" i="50"/>
  <c r="M125" i="57"/>
  <c r="W290" i="58"/>
  <c r="U193" i="57"/>
  <c r="T152"/>
  <c r="Q1287" i="50"/>
  <c r="AV1292"/>
  <c r="R132" i="58"/>
  <c r="T1077" i="50"/>
  <c r="T1881"/>
  <c r="W323" i="58"/>
  <c r="AA323" s="1"/>
  <c r="T1692" i="50"/>
  <c r="T296"/>
  <c r="W358" i="58"/>
  <c r="I358" s="1"/>
  <c r="T1737" i="50"/>
  <c r="Y1753" s="1"/>
  <c r="BE558"/>
  <c r="BE1692"/>
  <c r="F189" i="57"/>
  <c r="AV805" i="50"/>
  <c r="I144" i="57"/>
  <c r="B691" i="52"/>
  <c r="X465"/>
  <c r="F360"/>
  <c r="F408" s="1"/>
  <c r="F456" s="1"/>
  <c r="F504" s="1"/>
  <c r="F552" s="1"/>
  <c r="F600" s="1"/>
  <c r="F648" s="1"/>
  <c r="X358"/>
  <c r="R324" i="58"/>
  <c r="T1698" i="50"/>
  <c r="T295"/>
  <c r="M147" i="58"/>
  <c r="T1074" i="50"/>
  <c r="K1682"/>
  <c r="T291"/>
  <c r="W198" i="58"/>
  <c r="AK198" s="1"/>
  <c r="M198" s="1"/>
  <c r="W320"/>
  <c r="AE320" s="1"/>
  <c r="BE369" i="50"/>
  <c r="BE1881"/>
  <c r="BE1884" s="1"/>
  <c r="G432" i="52"/>
  <c r="AV1993" i="50"/>
  <c r="Q201" i="57"/>
  <c r="A161"/>
  <c r="L411" i="52"/>
  <c r="L428"/>
  <c r="N428" s="1"/>
  <c r="T292" i="50"/>
  <c r="U81" i="57"/>
  <c r="L78"/>
  <c r="N78" s="1"/>
  <c r="U186"/>
  <c r="D213"/>
  <c r="W132" i="58"/>
  <c r="P92" i="57"/>
  <c r="Z527" i="52"/>
  <c r="AG527" s="1"/>
  <c r="G478"/>
  <c r="X478" s="1"/>
  <c r="W133" i="58"/>
  <c r="I133" s="1"/>
  <c r="T1079" i="50"/>
  <c r="T1071"/>
  <c r="T237"/>
  <c r="T294"/>
  <c r="R199" i="58"/>
  <c r="N422" i="52"/>
  <c r="W194" i="58"/>
  <c r="AA194" s="1"/>
  <c r="T1143" i="50"/>
  <c r="Y1152" s="1"/>
  <c r="T1642"/>
  <c r="BE531"/>
  <c r="BE1908"/>
  <c r="T1644"/>
  <c r="Z569" i="52"/>
  <c r="AG569" s="1"/>
  <c r="E102" i="57"/>
  <c r="AV2048" i="50"/>
  <c r="E112" i="57"/>
  <c r="S181"/>
  <c r="F356" i="52"/>
  <c r="F404" s="1"/>
  <c r="F452" s="1"/>
  <c r="F500" s="1"/>
  <c r="F548" s="1"/>
  <c r="F596" s="1"/>
  <c r="F644" s="1"/>
  <c r="T1827" i="50"/>
  <c r="T1494"/>
  <c r="Y1507" s="1"/>
  <c r="AJ546" i="52"/>
  <c r="T1130" i="50"/>
  <c r="K1736"/>
  <c r="BE396"/>
  <c r="BE1584"/>
  <c r="T1748"/>
  <c r="L79" i="57"/>
  <c r="N79" s="1"/>
  <c r="Z671" i="52"/>
  <c r="AG671" s="1"/>
  <c r="U116" i="57"/>
  <c r="T236" i="50"/>
  <c r="T288"/>
  <c r="K1115"/>
  <c r="T1746"/>
  <c r="B156" i="57"/>
  <c r="T1062" i="50"/>
  <c r="T1125"/>
  <c r="T1750"/>
  <c r="T1752"/>
  <c r="T138" i="57"/>
  <c r="AJ498" i="52"/>
  <c r="G438"/>
  <c r="X438" s="1"/>
  <c r="Q1961" i="50"/>
  <c r="T1646"/>
  <c r="K251"/>
  <c r="W263" i="58"/>
  <c r="AK263" s="1"/>
  <c r="AJ563" i="52"/>
  <c r="T1129" i="50"/>
  <c r="T1616"/>
  <c r="BE774"/>
  <c r="BE1827"/>
  <c r="T1751"/>
  <c r="T170" i="57"/>
  <c r="F130"/>
  <c r="T194"/>
  <c r="U182"/>
  <c r="T1965" i="50"/>
  <c r="T1643"/>
  <c r="T268"/>
  <c r="T1773"/>
  <c r="T1968"/>
  <c r="AJ577" i="52"/>
  <c r="T279" i="50"/>
  <c r="Y291" s="1"/>
  <c r="AY291" s="1"/>
  <c r="BE1206"/>
  <c r="T1508"/>
  <c r="D204" i="57"/>
  <c r="M150"/>
  <c r="H171"/>
  <c r="Z460" i="52"/>
  <c r="AG460"/>
  <c r="BE801" i="50"/>
  <c r="T1640"/>
  <c r="T293"/>
  <c r="S169" i="57"/>
  <c r="A201"/>
  <c r="Q140"/>
  <c r="H133"/>
  <c r="T1454" i="50"/>
  <c r="K1628"/>
  <c r="Q1628" s="1"/>
  <c r="T241"/>
  <c r="U123" i="58"/>
  <c r="AO131" s="1"/>
  <c r="M185" i="57"/>
  <c r="G522" i="52"/>
  <c r="X522"/>
  <c r="M159" i="57"/>
  <c r="S122"/>
  <c r="AG422" i="52"/>
  <c r="S107" i="57"/>
  <c r="H99"/>
  <c r="S158"/>
  <c r="M194"/>
  <c r="AA1235" i="50"/>
  <c r="AH1235" s="1"/>
  <c r="AA1371"/>
  <c r="AH1371" s="1"/>
  <c r="Z490" i="52"/>
  <c r="AG490" s="1"/>
  <c r="D179" i="57"/>
  <c r="AA1883" i="50"/>
  <c r="AH1883" s="1"/>
  <c r="AA2049"/>
  <c r="AH2049" s="1"/>
  <c r="B402" i="52"/>
  <c r="B450"/>
  <c r="B498" s="1"/>
  <c r="B546" s="1"/>
  <c r="B594" s="1"/>
  <c r="B642" s="1"/>
  <c r="B355"/>
  <c r="B357"/>
  <c r="B358" s="1"/>
  <c r="X363"/>
  <c r="X555"/>
  <c r="H98" i="57"/>
  <c r="M176"/>
  <c r="G506" i="52"/>
  <c r="T135" i="57"/>
  <c r="G476" i="52"/>
  <c r="O128" i="57"/>
  <c r="G141"/>
  <c r="B203"/>
  <c r="X579" i="52"/>
  <c r="AQ1426" i="50"/>
  <c r="K1426"/>
  <c r="C504" i="52"/>
  <c r="O504"/>
  <c r="Q504" s="1"/>
  <c r="X445"/>
  <c r="X512"/>
  <c r="O81" i="57"/>
  <c r="U135"/>
  <c r="G596" i="52"/>
  <c r="E136" i="57"/>
  <c r="T146"/>
  <c r="S164"/>
  <c r="E204"/>
  <c r="Z409" i="52"/>
  <c r="AG409" s="1"/>
  <c r="P203" i="57"/>
  <c r="Y104" i="58"/>
  <c r="Y199"/>
  <c r="R359"/>
  <c r="U347"/>
  <c r="W355"/>
  <c r="I355" s="1"/>
  <c r="Z524" i="52"/>
  <c r="AG524"/>
  <c r="Z479"/>
  <c r="AG479"/>
  <c r="O163" i="57"/>
  <c r="Q177"/>
  <c r="R157"/>
  <c r="U146"/>
  <c r="P135"/>
  <c r="Z673" i="52"/>
  <c r="AG673" s="1"/>
  <c r="I114" i="57"/>
  <c r="M167"/>
  <c r="L80"/>
  <c r="N80" s="1"/>
  <c r="T197"/>
  <c r="AA1992" i="50"/>
  <c r="AH1992" s="1"/>
  <c r="X660" i="52"/>
  <c r="Z622"/>
  <c r="AG622" s="1"/>
  <c r="M140" i="57"/>
  <c r="S157"/>
  <c r="L125"/>
  <c r="N125" s="1"/>
  <c r="S199"/>
  <c r="G203"/>
  <c r="L121"/>
  <c r="N121" s="1"/>
  <c r="G508" i="52"/>
  <c r="N508" s="1"/>
  <c r="U192" i="57"/>
  <c r="H78"/>
  <c r="B428" i="52"/>
  <c r="B476" s="1"/>
  <c r="B524" s="1"/>
  <c r="B572" s="1"/>
  <c r="B620" s="1"/>
  <c r="B668" s="1"/>
  <c r="B381"/>
  <c r="S139" i="57"/>
  <c r="B179"/>
  <c r="S84"/>
  <c r="E174"/>
  <c r="R204"/>
  <c r="G143"/>
  <c r="Q130"/>
  <c r="M169"/>
  <c r="A214"/>
  <c r="C213"/>
  <c r="T179"/>
  <c r="S85"/>
  <c r="A158"/>
  <c r="L126"/>
  <c r="N126" s="1"/>
  <c r="I127"/>
  <c r="M99"/>
  <c r="Z609" i="52"/>
  <c r="AG609" s="1"/>
  <c r="D472"/>
  <c r="D520" s="1"/>
  <c r="D568" s="1"/>
  <c r="D616" s="1"/>
  <c r="D664" s="1"/>
  <c r="O424"/>
  <c r="Q424" s="1"/>
  <c r="X462"/>
  <c r="I133" i="57"/>
  <c r="S126"/>
  <c r="U178"/>
  <c r="I197"/>
  <c r="G416" i="52"/>
  <c r="X416" s="1"/>
  <c r="F185" i="57"/>
  <c r="F203"/>
  <c r="O184"/>
  <c r="E160"/>
  <c r="E153"/>
  <c r="G131"/>
  <c r="U85"/>
  <c r="M157"/>
  <c r="Z404" i="52"/>
  <c r="AG404" s="1"/>
  <c r="G629"/>
  <c r="G164" i="57"/>
  <c r="H494" i="52"/>
  <c r="H488" s="1"/>
  <c r="H459"/>
  <c r="T1857" i="50"/>
  <c r="O164" i="57"/>
  <c r="M201"/>
  <c r="Z497" i="52"/>
  <c r="AG497" s="1"/>
  <c r="T154" i="57"/>
  <c r="O131"/>
  <c r="T100"/>
  <c r="Q152"/>
  <c r="G409" i="52"/>
  <c r="X409" s="1"/>
  <c r="G662"/>
  <c r="L88" i="57"/>
  <c r="N88"/>
  <c r="H107"/>
  <c r="Q175"/>
  <c r="H199"/>
  <c r="D132"/>
  <c r="S101"/>
  <c r="G132"/>
  <c r="Y91" i="38"/>
  <c r="G2112" i="50"/>
  <c r="G90" i="62" s="1"/>
  <c r="Z616" i="52"/>
  <c r="AG616" s="1"/>
  <c r="Z522"/>
  <c r="AG522" s="1"/>
  <c r="L137" i="57"/>
  <c r="N137" s="1"/>
  <c r="X545" i="52"/>
  <c r="T564" i="50"/>
  <c r="T549"/>
  <c r="Y564" s="1"/>
  <c r="AY564" s="1"/>
  <c r="AG549" i="52"/>
  <c r="H120" i="57"/>
  <c r="P136"/>
  <c r="Q141"/>
  <c r="O173"/>
  <c r="T93"/>
  <c r="Z656" i="52"/>
  <c r="AG656"/>
  <c r="Y95" i="38"/>
  <c r="G2116" i="50"/>
  <c r="G94" i="62" s="1"/>
  <c r="G550" i="52"/>
  <c r="Z651"/>
  <c r="AG651" s="1"/>
  <c r="X528"/>
  <c r="Y112" i="38"/>
  <c r="G2133" i="50" s="1"/>
  <c r="W288" i="58"/>
  <c r="M288" s="1"/>
  <c r="R292"/>
  <c r="R296"/>
  <c r="R288"/>
  <c r="R293" s="1"/>
  <c r="R294" s="1"/>
  <c r="U283"/>
  <c r="AP291" s="1"/>
  <c r="W291"/>
  <c r="I291" s="1"/>
  <c r="W295"/>
  <c r="W292"/>
  <c r="I292" s="1"/>
  <c r="W294"/>
  <c r="W293"/>
  <c r="V197" i="46"/>
  <c r="W227" i="58"/>
  <c r="AK227" s="1"/>
  <c r="M227" s="1"/>
  <c r="R224"/>
  <c r="R229" s="1"/>
  <c r="R230" s="1"/>
  <c r="M243"/>
  <c r="V162" i="46"/>
  <c r="Q163"/>
  <c r="AK170"/>
  <c r="AK171" s="1"/>
  <c r="AQ1156" i="50"/>
  <c r="K1156" s="1"/>
  <c r="AQ1804"/>
  <c r="K1804" s="1"/>
  <c r="U232" i="46"/>
  <c r="R34" i="60"/>
  <c r="Q145" i="57"/>
  <c r="I123"/>
  <c r="O104"/>
  <c r="O151"/>
  <c r="O171"/>
  <c r="S96"/>
  <c r="G475" i="52"/>
  <c r="X475" s="1"/>
  <c r="B177" i="57"/>
  <c r="G523" i="52"/>
  <c r="X523"/>
  <c r="Y99" i="38"/>
  <c r="G2120" i="50"/>
  <c r="H2120" s="1"/>
  <c r="H98" i="62" s="1"/>
  <c r="M100" i="57"/>
  <c r="U167"/>
  <c r="E175"/>
  <c r="A216" i="52"/>
  <c r="P175" i="57"/>
  <c r="H481" i="52"/>
  <c r="G566"/>
  <c r="X566"/>
  <c r="F141" i="57"/>
  <c r="S110"/>
  <c r="Q204"/>
  <c r="A177"/>
  <c r="M118"/>
  <c r="F165"/>
  <c r="H175"/>
  <c r="X377" i="52"/>
  <c r="H144" i="57"/>
  <c r="U115"/>
  <c r="G154"/>
  <c r="X487" i="52"/>
  <c r="Z523"/>
  <c r="AG523"/>
  <c r="M107" i="57"/>
  <c r="L105"/>
  <c r="N105" s="1"/>
  <c r="H160"/>
  <c r="T99"/>
  <c r="S151"/>
  <c r="S193"/>
  <c r="H446" i="52"/>
  <c r="I117" i="57"/>
  <c r="O187"/>
  <c r="X484" i="52"/>
  <c r="F176" i="57"/>
  <c r="X558" i="52"/>
  <c r="U124" i="57"/>
  <c r="Z619" i="52"/>
  <c r="AG619" s="1"/>
  <c r="H86" i="57"/>
  <c r="Z657" i="52"/>
  <c r="AG657" s="1"/>
  <c r="R199" i="57"/>
  <c r="P171"/>
  <c r="G151"/>
  <c r="Z530" i="52"/>
  <c r="AG530"/>
  <c r="I140" i="57"/>
  <c r="P204"/>
  <c r="AQ1642" i="50"/>
  <c r="K1642"/>
  <c r="AC411" i="52"/>
  <c r="AC402"/>
  <c r="H505"/>
  <c r="H504"/>
  <c r="H531"/>
  <c r="AA452" i="50"/>
  <c r="AH452" s="1"/>
  <c r="AA1155"/>
  <c r="AH1155" s="1"/>
  <c r="AA1482"/>
  <c r="AH1482" s="1"/>
  <c r="AA1262"/>
  <c r="AH1262" s="1"/>
  <c r="AA1374"/>
  <c r="AH1374" s="1"/>
  <c r="AA561"/>
  <c r="AH561" s="1"/>
  <c r="AA560"/>
  <c r="AH560" s="1"/>
  <c r="AA804"/>
  <c r="AH804" s="1"/>
  <c r="D209" i="57"/>
  <c r="F209"/>
  <c r="B371" i="52"/>
  <c r="B419" s="1"/>
  <c r="B467" s="1"/>
  <c r="B515" s="1"/>
  <c r="B563" s="1"/>
  <c r="B611" s="1"/>
  <c r="B659" s="1"/>
  <c r="B370"/>
  <c r="B418"/>
  <c r="B466" s="1"/>
  <c r="B514" s="1"/>
  <c r="B562" s="1"/>
  <c r="B610" s="1"/>
  <c r="B658" s="1"/>
  <c r="C390"/>
  <c r="C438" s="1"/>
  <c r="O438" s="1"/>
  <c r="Q438" s="1"/>
  <c r="T1575" i="50"/>
  <c r="T1586"/>
  <c r="T1591"/>
  <c r="T1584"/>
  <c r="T1590"/>
  <c r="K1844"/>
  <c r="AK1856" s="1"/>
  <c r="T1861"/>
  <c r="T1854"/>
  <c r="T1860"/>
  <c r="T1858"/>
  <c r="T1845"/>
  <c r="T1856"/>
  <c r="T1862"/>
  <c r="T132" i="57"/>
  <c r="T131"/>
  <c r="A133"/>
  <c r="G479" i="52"/>
  <c r="X636"/>
  <c r="Z601"/>
  <c r="AG601" s="1"/>
  <c r="H109" i="57"/>
  <c r="S180"/>
  <c r="G673" i="52"/>
  <c r="X673" s="1"/>
  <c r="Z503"/>
  <c r="AG503" s="1"/>
  <c r="I126" i="57"/>
  <c r="O150"/>
  <c r="O115"/>
  <c r="H147"/>
  <c r="O112"/>
  <c r="Z475" i="52"/>
  <c r="AG475" s="1"/>
  <c r="I124" i="57"/>
  <c r="G603" i="52"/>
  <c r="I147" i="57"/>
  <c r="M86"/>
  <c r="Z620" i="52"/>
  <c r="AG620" s="1"/>
  <c r="Z568"/>
  <c r="AG568" s="1"/>
  <c r="L122" i="57"/>
  <c r="N122" s="1"/>
  <c r="G501" i="52"/>
  <c r="X501" s="1"/>
  <c r="O143" i="57"/>
  <c r="X387" i="52"/>
  <c r="T183" i="57"/>
  <c r="X441" i="52"/>
  <c r="Z602"/>
  <c r="AG602" s="1"/>
  <c r="F214" i="57"/>
  <c r="X353" i="52"/>
  <c r="O197" i="57"/>
  <c r="L203"/>
  <c r="N203" s="1"/>
  <c r="I136"/>
  <c r="G156"/>
  <c r="E172"/>
  <c r="A178"/>
  <c r="P198"/>
  <c r="U136"/>
  <c r="G172"/>
  <c r="M84"/>
  <c r="G518" i="52"/>
  <c r="T103" i="57"/>
  <c r="T87"/>
  <c r="S103"/>
  <c r="S87"/>
  <c r="G137"/>
  <c r="S153"/>
  <c r="X394" i="52"/>
  <c r="X450"/>
  <c r="E171" i="57"/>
  <c r="F201"/>
  <c r="H131"/>
  <c r="H156"/>
  <c r="Y94" i="38"/>
  <c r="G2115" i="50" s="1"/>
  <c r="G136" i="57"/>
  <c r="O178"/>
  <c r="D137"/>
  <c r="D178"/>
  <c r="I199"/>
  <c r="B152"/>
  <c r="B214"/>
  <c r="R178"/>
  <c r="E196"/>
  <c r="A137"/>
  <c r="U147"/>
  <c r="U190"/>
  <c r="G681" i="52"/>
  <c r="T186" i="57"/>
  <c r="G473" i="52"/>
  <c r="N473" s="1"/>
  <c r="U143" i="57"/>
  <c r="G145"/>
  <c r="G165"/>
  <c r="I82"/>
  <c r="M89"/>
  <c r="S148"/>
  <c r="T189"/>
  <c r="I120"/>
  <c r="X369" i="52"/>
  <c r="I87" i="57"/>
  <c r="G551" i="52"/>
  <c r="T166" i="57"/>
  <c r="Z416" i="52"/>
  <c r="AG416" s="1"/>
  <c r="L127" i="57"/>
  <c r="N127" s="1"/>
  <c r="X667" i="52"/>
  <c r="S147" i="57"/>
  <c r="Z466" i="52"/>
  <c r="AG466" s="1"/>
  <c r="AA446"/>
  <c r="I101" i="57"/>
  <c r="M105"/>
  <c r="X495" i="52"/>
  <c r="Y87" i="38"/>
  <c r="G2108" i="50" s="1"/>
  <c r="H2108" s="1"/>
  <c r="H86" i="62" s="1"/>
  <c r="L116" i="57"/>
  <c r="N116" s="1"/>
  <c r="G199"/>
  <c r="E132"/>
  <c r="A138"/>
  <c r="T157"/>
  <c r="R173"/>
  <c r="T150"/>
  <c r="U201"/>
  <c r="G152"/>
  <c r="M175"/>
  <c r="X481" i="52"/>
  <c r="Z414"/>
  <c r="AG414" s="1"/>
  <c r="U98" i="57"/>
  <c r="T82"/>
  <c r="T98"/>
  <c r="S82"/>
  <c r="D203"/>
  <c r="R175"/>
  <c r="O189"/>
  <c r="U166"/>
  <c r="Q155"/>
  <c r="R195"/>
  <c r="H176"/>
  <c r="O135"/>
  <c r="I131"/>
  <c r="Y111" i="38"/>
  <c r="G2132" i="50"/>
  <c r="H2132" s="1"/>
  <c r="H110" i="62" s="1"/>
  <c r="T155" i="57"/>
  <c r="F135"/>
  <c r="Y106" i="38"/>
  <c r="G2127" i="50"/>
  <c r="G105" i="62" s="1"/>
  <c r="P156" i="57"/>
  <c r="P178"/>
  <c r="E177"/>
  <c r="R197"/>
  <c r="A139"/>
  <c r="L446" i="52"/>
  <c r="U169" i="57"/>
  <c r="Z567" i="52"/>
  <c r="AG567" s="1"/>
  <c r="Z461"/>
  <c r="AG461" s="1"/>
  <c r="H180" i="57"/>
  <c r="I92"/>
  <c r="G204"/>
  <c r="U170"/>
  <c r="S123"/>
  <c r="G573" i="52"/>
  <c r="T144" i="57"/>
  <c r="I107"/>
  <c r="X500" i="52"/>
  <c r="O78" i="57"/>
  <c r="S170"/>
  <c r="T163"/>
  <c r="G621" i="52"/>
  <c r="N621" s="1"/>
  <c r="G466"/>
  <c r="X466" s="1"/>
  <c r="T125" i="57"/>
  <c r="X661" i="52"/>
  <c r="G642"/>
  <c r="Z634"/>
  <c r="AG634" s="1"/>
  <c r="Z559"/>
  <c r="AG559" s="1"/>
  <c r="I89" i="57"/>
  <c r="M82"/>
  <c r="Z463" i="52"/>
  <c r="AG463" s="1"/>
  <c r="A195" i="57"/>
  <c r="Y119" i="38"/>
  <c r="G2140" i="50"/>
  <c r="G118" i="62" s="1"/>
  <c r="U199" i="57"/>
  <c r="S132"/>
  <c r="Q138"/>
  <c r="O158"/>
  <c r="L174"/>
  <c r="N174" s="1"/>
  <c r="G651" i="52"/>
  <c r="I203" i="57"/>
  <c r="P155"/>
  <c r="U176"/>
  <c r="X653" i="52"/>
  <c r="G557"/>
  <c r="X557"/>
  <c r="U96" i="57"/>
  <c r="T80"/>
  <c r="T96"/>
  <c r="S80"/>
  <c r="G200"/>
  <c r="O160"/>
  <c r="F194"/>
  <c r="U185"/>
  <c r="L139"/>
  <c r="N139"/>
  <c r="I171"/>
  <c r="O179"/>
  <c r="H132"/>
  <c r="U153"/>
  <c r="Y82" i="38"/>
  <c r="G2103" i="50"/>
  <c r="H2103" s="1"/>
  <c r="H81" i="62" s="1"/>
  <c r="Q136" i="57"/>
  <c r="S133"/>
  <c r="A179"/>
  <c r="R158"/>
  <c r="U126"/>
  <c r="G474" i="52"/>
  <c r="H105" i="57"/>
  <c r="H117"/>
  <c r="M95"/>
  <c r="U181"/>
  <c r="T195"/>
  <c r="E179"/>
  <c r="Z625" i="52"/>
  <c r="AG625"/>
  <c r="X541"/>
  <c r="H173" i="57"/>
  <c r="B197"/>
  <c r="B160"/>
  <c r="P176"/>
  <c r="L175"/>
  <c r="N175" s="1"/>
  <c r="M199"/>
  <c r="M152"/>
  <c r="X563" i="52"/>
  <c r="Z614"/>
  <c r="AG614" s="1"/>
  <c r="L83" i="57"/>
  <c r="N83" s="1"/>
  <c r="U121"/>
  <c r="Z439" i="52"/>
  <c r="AG439" s="1"/>
  <c r="I151" i="57"/>
  <c r="X426" i="52"/>
  <c r="G169" i="57"/>
  <c r="L98"/>
  <c r="N98"/>
  <c r="M124"/>
  <c r="X385" i="52"/>
  <c r="X423"/>
  <c r="M129" i="57"/>
  <c r="Z518" i="52"/>
  <c r="AG518"/>
  <c r="S119" i="57"/>
  <c r="G586" i="52"/>
  <c r="X482"/>
  <c r="G613"/>
  <c r="X355"/>
  <c r="T128" i="57"/>
  <c r="S106"/>
  <c r="Y97" i="38"/>
  <c r="G2118" i="50" s="1"/>
  <c r="X584" i="52"/>
  <c r="G656"/>
  <c r="M142" i="57"/>
  <c r="X493" i="52"/>
  <c r="L114" i="57"/>
  <c r="N114" s="1"/>
  <c r="Q195"/>
  <c r="Y162" i="38"/>
  <c r="G385" i="46" s="1"/>
  <c r="P200" i="57"/>
  <c r="M133"/>
  <c r="H139"/>
  <c r="F159"/>
  <c r="D175"/>
  <c r="L117"/>
  <c r="N117" s="1"/>
  <c r="R130"/>
  <c r="B157"/>
  <c r="I178"/>
  <c r="L81"/>
  <c r="N81"/>
  <c r="Z419" i="52"/>
  <c r="AG419"/>
  <c r="X386"/>
  <c r="U94" i="57"/>
  <c r="S78"/>
  <c r="T94"/>
  <c r="U77"/>
  <c r="D197"/>
  <c r="U152"/>
  <c r="U150"/>
  <c r="X411" i="52"/>
  <c r="E137" i="57"/>
  <c r="L173"/>
  <c r="N173"/>
  <c r="Q154"/>
  <c r="O202"/>
  <c r="M179"/>
  <c r="Y75" i="38"/>
  <c r="G2096" i="50" s="1"/>
  <c r="M130" i="57"/>
  <c r="R179"/>
  <c r="P199"/>
  <c r="Y134" i="38"/>
  <c r="G2155" i="50" s="1"/>
  <c r="T174" i="57"/>
  <c r="U173"/>
  <c r="U200"/>
  <c r="M156"/>
  <c r="Z647" i="52"/>
  <c r="AG647" s="1"/>
  <c r="F169" i="57"/>
  <c r="I128"/>
  <c r="U141"/>
  <c r="F187"/>
  <c r="U149"/>
  <c r="I95"/>
  <c r="O165"/>
  <c r="O126"/>
  <c r="X668" i="52"/>
  <c r="P180" i="57"/>
  <c r="M90"/>
  <c r="U187"/>
  <c r="S124"/>
  <c r="X452" i="52"/>
  <c r="G502"/>
  <c r="X669"/>
  <c r="G608"/>
  <c r="Q149" i="57"/>
  <c r="I90"/>
  <c r="L115"/>
  <c r="N115" s="1"/>
  <c r="G513" i="52"/>
  <c r="X597"/>
  <c r="O181" i="57"/>
  <c r="D43" i="52"/>
  <c r="G616"/>
  <c r="N616" s="1"/>
  <c r="H196" i="57"/>
  <c r="Y85" i="38"/>
  <c r="G2106" i="50" s="1"/>
  <c r="G84" i="62" s="1"/>
  <c r="I201" i="57"/>
  <c r="G134"/>
  <c r="E152"/>
  <c r="A160"/>
  <c r="E176"/>
  <c r="O113"/>
  <c r="D133"/>
  <c r="L158"/>
  <c r="N158" s="1"/>
  <c r="G562" i="52"/>
  <c r="X562" s="1"/>
  <c r="O185" i="57"/>
  <c r="T143"/>
  <c r="X371" i="52"/>
  <c r="U92" i="57"/>
  <c r="O118"/>
  <c r="T92"/>
  <c r="X433" i="52"/>
  <c r="Q153" i="57"/>
  <c r="T199"/>
  <c r="Y128" i="38"/>
  <c r="G2149" i="50" s="1"/>
  <c r="H2149" s="1"/>
  <c r="H127" i="62" s="1"/>
  <c r="P174" i="57"/>
  <c r="Q173"/>
  <c r="A202"/>
  <c r="A157"/>
  <c r="Z617" i="52"/>
  <c r="AG617" s="1"/>
  <c r="Z670"/>
  <c r="AG670" s="1"/>
  <c r="O169" i="57"/>
  <c r="L107"/>
  <c r="N107" s="1"/>
  <c r="O127"/>
  <c r="Q161"/>
  <c r="M189"/>
  <c r="U165"/>
  <c r="M117"/>
  <c r="F161"/>
  <c r="S108"/>
  <c r="G507" i="52"/>
  <c r="X507"/>
  <c r="D180" i="57"/>
  <c r="O80"/>
  <c r="L82"/>
  <c r="N82"/>
  <c r="I125"/>
  <c r="X510" i="52"/>
  <c r="X591"/>
  <c r="X534"/>
  <c r="G567"/>
  <c r="Z454"/>
  <c r="AG454" s="1"/>
  <c r="M120" i="57"/>
  <c r="A204"/>
  <c r="AA204" s="1"/>
  <c r="G680" i="52"/>
  <c r="X535"/>
  <c r="M162" i="57"/>
  <c r="T115"/>
  <c r="G628" i="52"/>
  <c r="X628" s="1"/>
  <c r="M187" i="57"/>
  <c r="Y93" i="38"/>
  <c r="G2114" i="50" s="1"/>
  <c r="H2114" s="1"/>
  <c r="H92" i="62" s="1"/>
  <c r="O201" i="57"/>
  <c r="L134"/>
  <c r="N134"/>
  <c r="I152"/>
  <c r="L160"/>
  <c r="N160" s="1"/>
  <c r="I176"/>
  <c r="Y81" i="38"/>
  <c r="G2102" i="50" s="1"/>
  <c r="H2102" s="1"/>
  <c r="H80" i="62" s="1"/>
  <c r="P133" i="57"/>
  <c r="U158"/>
  <c r="X552" i="52"/>
  <c r="Y142" i="38"/>
  <c r="G2163" i="50" s="1"/>
  <c r="G141" i="62" s="1"/>
  <c r="G171" i="57"/>
  <c r="F195"/>
  <c r="R152"/>
  <c r="G625" i="52"/>
  <c r="X625"/>
  <c r="X376"/>
  <c r="H111" i="57"/>
  <c r="U162"/>
  <c r="I103"/>
  <c r="M93"/>
  <c r="H140"/>
  <c r="S187"/>
  <c r="F182"/>
  <c r="S163"/>
  <c r="O98"/>
  <c r="G509" i="52"/>
  <c r="AJ497"/>
  <c r="Z537"/>
  <c r="AG537"/>
  <c r="Z531"/>
  <c r="AG531"/>
  <c r="I150" i="57"/>
  <c r="Z626" i="52"/>
  <c r="AG626" s="1"/>
  <c r="G624"/>
  <c r="N624" s="1"/>
  <c r="G632"/>
  <c r="F150" i="57"/>
  <c r="S197"/>
  <c r="I132"/>
  <c r="O152"/>
  <c r="I172"/>
  <c r="Z432" i="52"/>
  <c r="AG432" s="1"/>
  <c r="E134" i="57"/>
  <c r="Q172"/>
  <c r="Z649" i="52"/>
  <c r="AG649" s="1"/>
  <c r="X417"/>
  <c r="I118" i="57"/>
  <c r="S88"/>
  <c r="U99"/>
  <c r="U78"/>
  <c r="F160"/>
  <c r="Y158" i="38"/>
  <c r="G381" i="46" s="1"/>
  <c r="G151" i="62" s="1"/>
  <c r="M196" i="57"/>
  <c r="F152"/>
  <c r="I175"/>
  <c r="Y140" i="38"/>
  <c r="G2161" i="50" s="1"/>
  <c r="Y98" i="38"/>
  <c r="G2119" i="50" s="1"/>
  <c r="F200" i="57"/>
  <c r="O138"/>
  <c r="Y127" i="38"/>
  <c r="G2148" i="50" s="1"/>
  <c r="G126" i="62" s="1"/>
  <c r="F199" i="57"/>
  <c r="X390" i="52"/>
  <c r="I142" i="57"/>
  <c r="X391" i="52"/>
  <c r="U125" i="57"/>
  <c r="O183"/>
  <c r="Z596" i="52"/>
  <c r="AG596"/>
  <c r="S149" i="57"/>
  <c r="S177"/>
  <c r="U139"/>
  <c r="H127"/>
  <c r="U129"/>
  <c r="H84"/>
  <c r="X587" i="52"/>
  <c r="F180" i="57"/>
  <c r="T124"/>
  <c r="G404" i="52"/>
  <c r="G634"/>
  <c r="N634" s="1"/>
  <c r="O195" i="57"/>
  <c r="B195"/>
  <c r="Y139" i="38"/>
  <c r="G2160" i="50" s="1"/>
  <c r="G138" i="62" s="1"/>
  <c r="T153" i="57"/>
  <c r="U198"/>
  <c r="I159"/>
  <c r="U145"/>
  <c r="L89"/>
  <c r="N89"/>
  <c r="S142"/>
  <c r="L110"/>
  <c r="N110" s="1"/>
  <c r="U140"/>
  <c r="H126"/>
  <c r="M81"/>
  <c r="G538" i="52"/>
  <c r="N538" s="1"/>
  <c r="H145" i="57"/>
  <c r="X396" i="52"/>
  <c r="S125" i="57"/>
  <c r="AK446" i="52"/>
  <c r="AE497"/>
  <c r="G649"/>
  <c r="X543"/>
  <c r="M91" i="57"/>
  <c r="M146"/>
  <c r="G676" i="52"/>
  <c r="T164" i="57"/>
  <c r="A199"/>
  <c r="A134"/>
  <c r="A156"/>
  <c r="M173"/>
  <c r="E212"/>
  <c r="L136"/>
  <c r="N136" s="1"/>
  <c r="B175"/>
  <c r="X464" i="52"/>
  <c r="T140" i="57"/>
  <c r="S104"/>
  <c r="U83"/>
  <c r="S95"/>
  <c r="G155"/>
  <c r="L153"/>
  <c r="N153" s="1"/>
  <c r="G150"/>
  <c r="Z513" i="52"/>
  <c r="AG513"/>
  <c r="R134" i="57"/>
  <c r="I179"/>
  <c r="O155"/>
  <c r="T198"/>
  <c r="R153"/>
  <c r="M132"/>
  <c r="U120"/>
  <c r="G471" i="52"/>
  <c r="L86" i="57"/>
  <c r="N86"/>
  <c r="O145"/>
  <c r="O129"/>
  <c r="T119"/>
  <c r="F175"/>
  <c r="S154"/>
  <c r="G521" i="52"/>
  <c r="X521" s="1"/>
  <c r="X542"/>
  <c r="H81" i="57"/>
  <c r="T78"/>
  <c r="O106"/>
  <c r="G627" i="52"/>
  <c r="X393"/>
  <c r="Z654"/>
  <c r="AG654" s="1"/>
  <c r="G201" i="57"/>
  <c r="P197"/>
  <c r="Y135" i="38"/>
  <c r="G2156" i="50" s="1"/>
  <c r="F213" i="57"/>
  <c r="E200"/>
  <c r="L159"/>
  <c r="N159" s="1"/>
  <c r="U119"/>
  <c r="L90"/>
  <c r="N90"/>
  <c r="X593" i="52"/>
  <c r="L111" i="57"/>
  <c r="N111" s="1"/>
  <c r="L93"/>
  <c r="N93" s="1"/>
  <c r="I91"/>
  <c r="H92"/>
  <c r="X671" i="52"/>
  <c r="O168" i="57"/>
  <c r="X449" i="52"/>
  <c r="O117" i="57"/>
  <c r="Z517" i="52"/>
  <c r="AG517" s="1"/>
  <c r="G581"/>
  <c r="X581" s="1"/>
  <c r="Z476"/>
  <c r="AG476" s="1"/>
  <c r="E211" i="57"/>
  <c r="X381" i="52"/>
  <c r="M111" i="57"/>
  <c r="H110"/>
  <c r="G520" i="52"/>
  <c r="X520" s="1"/>
  <c r="Z681"/>
  <c r="AG681" s="1"/>
  <c r="L199" i="57"/>
  <c r="N199" s="1"/>
  <c r="Q134"/>
  <c r="L156"/>
  <c r="N156"/>
  <c r="A174"/>
  <c r="E195"/>
  <c r="H137"/>
  <c r="A176"/>
  <c r="Z566" i="52"/>
  <c r="AG566"/>
  <c r="T190" i="57"/>
  <c r="U102"/>
  <c r="S83"/>
  <c r="U93"/>
  <c r="D152"/>
  <c r="A153"/>
  <c r="F162"/>
  <c r="Z520" i="52"/>
  <c r="AG520" s="1"/>
  <c r="Q133" i="57"/>
  <c r="U179"/>
  <c r="H152"/>
  <c r="Q131"/>
  <c r="Y156" i="38"/>
  <c r="G379" i="46" s="1"/>
  <c r="L197" i="57"/>
  <c r="N197" s="1"/>
  <c r="Y76" i="38"/>
  <c r="G2097" i="50" s="1"/>
  <c r="T134" i="57"/>
  <c r="T178"/>
  <c r="M172"/>
  <c r="F134"/>
  <c r="X366" i="52"/>
  <c r="H91" i="57"/>
  <c r="Z608" i="52"/>
  <c r="AG608" s="1"/>
  <c r="Z662"/>
  <c r="AG662" s="1"/>
  <c r="Z511"/>
  <c r="AG511" s="1"/>
  <c r="O147" i="57"/>
  <c r="F143"/>
  <c r="L103"/>
  <c r="N103" s="1"/>
  <c r="M80"/>
  <c r="T145"/>
  <c r="M121"/>
  <c r="H125"/>
  <c r="X397" i="52"/>
  <c r="G674"/>
  <c r="F212" i="57"/>
  <c r="G477" i="52"/>
  <c r="S111" i="57"/>
  <c r="X384" i="52"/>
  <c r="O146" i="57"/>
  <c r="Z646" i="52"/>
  <c r="AG646"/>
  <c r="Y165" i="38"/>
  <c r="G388" i="46"/>
  <c r="G158" i="62" s="1"/>
  <c r="D214" i="57"/>
  <c r="M202"/>
  <c r="F137"/>
  <c r="B159"/>
  <c r="F177"/>
  <c r="M200"/>
  <c r="O156"/>
  <c r="S116"/>
  <c r="Z506" i="52"/>
  <c r="AG506" s="1"/>
  <c r="T95" i="57"/>
  <c r="T86"/>
  <c r="G202"/>
  <c r="M139"/>
  <c r="AK498" i="52"/>
  <c r="Y159" i="38"/>
  <c r="G382" i="46"/>
  <c r="Q198" i="57"/>
  <c r="O177"/>
  <c r="H201"/>
  <c r="B171"/>
  <c r="P179"/>
  <c r="S200"/>
  <c r="Q179"/>
  <c r="U159"/>
  <c r="U183"/>
  <c r="X425" i="52"/>
  <c r="M141" i="57"/>
  <c r="AJ446" i="52"/>
  <c r="G619"/>
  <c r="N619"/>
  <c r="O90" i="57"/>
  <c r="P158"/>
  <c r="I198"/>
  <c r="Z516" i="52"/>
  <c r="AG516" s="1"/>
  <c r="G654"/>
  <c r="X654" s="1"/>
  <c r="L84" i="57"/>
  <c r="N84" s="1"/>
  <c r="F149"/>
  <c r="O99"/>
  <c r="G611" i="52"/>
  <c r="G498"/>
  <c r="S113" i="57"/>
  <c r="M108"/>
  <c r="D154"/>
  <c r="B136"/>
  <c r="S173"/>
  <c r="A196"/>
  <c r="M160"/>
  <c r="G463" i="52"/>
  <c r="X463" s="1"/>
  <c r="M168" i="57"/>
  <c r="T120"/>
  <c r="G659" i="52"/>
  <c r="AK497"/>
  <c r="I119" i="57"/>
  <c r="O108"/>
  <c r="T127"/>
  <c r="X492" i="52"/>
  <c r="I122" i="57"/>
  <c r="T113"/>
  <c r="Y164" i="38"/>
  <c r="G387" i="46" s="1"/>
  <c r="T148" i="57"/>
  <c r="H142"/>
  <c r="A230" i="52"/>
  <c r="O92" i="57"/>
  <c r="T114"/>
  <c r="Y83" i="38"/>
  <c r="G2104" i="50"/>
  <c r="P196" i="57"/>
  <c r="B133"/>
  <c r="U156"/>
  <c r="O176"/>
  <c r="L201"/>
  <c r="N201"/>
  <c r="S160"/>
  <c r="X515" i="52"/>
  <c r="S98" i="57"/>
  <c r="T84"/>
  <c r="T81"/>
  <c r="R154"/>
  <c r="L92"/>
  <c r="N92"/>
  <c r="Z572" i="52"/>
  <c r="AG572"/>
  <c r="L196" i="57"/>
  <c r="N196"/>
  <c r="Y130" i="38"/>
  <c r="G2151" i="50"/>
  <c r="H2151" s="1"/>
  <c r="H129" i="62" s="1"/>
  <c r="Y79" i="38"/>
  <c r="G2100" i="50"/>
  <c r="G78" i="62" s="1"/>
  <c r="A131" i="57"/>
  <c r="S198"/>
  <c r="F174"/>
  <c r="Z557" i="52"/>
  <c r="AG557" s="1"/>
  <c r="G186" i="57"/>
  <c r="L85"/>
  <c r="N85" s="1"/>
  <c r="G142"/>
  <c r="X412" i="52"/>
  <c r="H90" i="57"/>
  <c r="E135"/>
  <c r="O166"/>
  <c r="O162"/>
  <c r="E161"/>
  <c r="I121"/>
  <c r="S185"/>
  <c r="U113"/>
  <c r="G606" i="52"/>
  <c r="X606" s="1"/>
  <c r="N145" i="57"/>
  <c r="E131"/>
  <c r="T136"/>
  <c r="G173"/>
  <c r="U196"/>
  <c r="Z554" i="52"/>
  <c r="AG554" s="1"/>
  <c r="H83" i="57"/>
  <c r="T168"/>
  <c r="AB446" i="52"/>
  <c r="X359"/>
  <c r="H96" i="57"/>
  <c r="M102"/>
  <c r="T188"/>
  <c r="S143"/>
  <c r="I83"/>
  <c r="T147"/>
  <c r="Y160" i="38"/>
  <c r="G383" i="46" s="1"/>
  <c r="G153" i="62" s="1"/>
  <c r="T108" i="57"/>
  <c r="M165"/>
  <c r="X677" i="52"/>
  <c r="F114" i="57"/>
  <c r="G529" i="52"/>
  <c r="N529" s="1"/>
  <c r="T196" i="57"/>
  <c r="F133"/>
  <c r="D157"/>
  <c r="S176"/>
  <c r="H202"/>
  <c r="F171"/>
  <c r="G647" i="52"/>
  <c r="X647" s="1"/>
  <c r="T97" i="57"/>
  <c r="T104"/>
  <c r="U80"/>
  <c r="Y122" i="38"/>
  <c r="G2143" i="50"/>
  <c r="H2143" s="1"/>
  <c r="H121" i="62" s="1"/>
  <c r="F154" i="57"/>
  <c r="U184"/>
  <c r="X372" i="52"/>
  <c r="Y145" i="38"/>
  <c r="G2166" i="50" s="1"/>
  <c r="Y74" i="38"/>
  <c r="G2095" i="50"/>
  <c r="M154" i="57"/>
  <c r="S202"/>
  <c r="E173"/>
  <c r="Z606" i="52"/>
  <c r="AG606" s="1"/>
  <c r="I77" i="57"/>
  <c r="L91"/>
  <c r="N91" s="1"/>
  <c r="I79"/>
  <c r="S144"/>
  <c r="I81"/>
  <c r="Y131" i="38"/>
  <c r="G2152" i="50" s="1"/>
  <c r="R136" i="57"/>
  <c r="G657" i="52"/>
  <c r="X657"/>
  <c r="O142" i="57"/>
  <c r="H97"/>
  <c r="O82"/>
  <c r="X430" i="52"/>
  <c r="O140" i="57"/>
  <c r="X655" i="52"/>
  <c r="Y71" i="38"/>
  <c r="P138" i="57"/>
  <c r="B172"/>
  <c r="L198"/>
  <c r="N198" s="1"/>
  <c r="Z603" i="52"/>
  <c r="AG603" s="1"/>
  <c r="I146" i="57"/>
  <c r="X494" i="52"/>
  <c r="R161" i="57"/>
  <c r="L95"/>
  <c r="N95"/>
  <c r="X374" i="52"/>
  <c r="O103" i="57"/>
  <c r="G499" i="52"/>
  <c r="S194" i="57"/>
  <c r="O96"/>
  <c r="T123"/>
  <c r="Y115" i="38"/>
  <c r="G2136" i="50"/>
  <c r="T111" i="57"/>
  <c r="E180"/>
  <c r="T169"/>
  <c r="S120"/>
  <c r="G195"/>
  <c r="B198"/>
  <c r="U134"/>
  <c r="P157"/>
  <c r="M177"/>
  <c r="S203"/>
  <c r="D173"/>
  <c r="AA497" i="52"/>
  <c r="S94" i="57"/>
  <c r="T102"/>
  <c r="S77"/>
  <c r="D158"/>
  <c r="H179"/>
  <c r="AE498" i="52"/>
  <c r="Q159" i="57"/>
  <c r="U171"/>
  <c r="O159"/>
  <c r="H154"/>
  <c r="O153"/>
  <c r="S135"/>
  <c r="M195"/>
  <c r="G533" i="52"/>
  <c r="F167" i="57"/>
  <c r="S127"/>
  <c r="S204"/>
  <c r="H88"/>
  <c r="M131"/>
  <c r="L155"/>
  <c r="N155" s="1"/>
  <c r="F144"/>
  <c r="O191"/>
  <c r="G148"/>
  <c r="I109"/>
  <c r="G525" i="52"/>
  <c r="N525" s="1"/>
  <c r="G161" i="57"/>
  <c r="I446" i="52"/>
  <c r="Y73" i="38"/>
  <c r="G2094" i="50" s="1"/>
  <c r="Y136" i="38"/>
  <c r="G2157" i="50" s="1"/>
  <c r="L179" i="57"/>
  <c r="N179" s="1"/>
  <c r="I130"/>
  <c r="X392" i="52"/>
  <c r="O124" i="57"/>
  <c r="G191"/>
  <c r="F168"/>
  <c r="G184"/>
  <c r="S140"/>
  <c r="O192"/>
  <c r="O100"/>
  <c r="G614" i="52"/>
  <c r="L119" i="57"/>
  <c r="N119" s="1"/>
  <c r="G470" i="52"/>
  <c r="X470" s="1"/>
  <c r="Y113" i="38"/>
  <c r="G2134" i="50" s="1"/>
  <c r="T107" i="57"/>
  <c r="F204"/>
  <c r="X354" i="52"/>
  <c r="M78" i="57"/>
  <c r="D200"/>
  <c r="O136"/>
  <c r="R159"/>
  <c r="M184"/>
  <c r="B135"/>
  <c r="H177"/>
  <c r="S105"/>
  <c r="Z473" i="52"/>
  <c r="AG473"/>
  <c r="S90" i="57"/>
  <c r="U97"/>
  <c r="D136"/>
  <c r="Q158"/>
  <c r="Z501" i="52"/>
  <c r="AG501"/>
  <c r="R156" i="57"/>
  <c r="L177"/>
  <c r="N177" s="1"/>
  <c r="O137"/>
  <c r="G176"/>
  <c r="S174"/>
  <c r="S159"/>
  <c r="U202"/>
  <c r="Z507" i="52"/>
  <c r="AG507" s="1"/>
  <c r="S128" i="57"/>
  <c r="F140"/>
  <c r="U180"/>
  <c r="G516" i="52"/>
  <c r="X420"/>
  <c r="D172" i="57"/>
  <c r="G570" i="52"/>
  <c r="N570" s="1"/>
  <c r="G185" i="57"/>
  <c r="U111"/>
  <c r="M87"/>
  <c r="G599" i="52"/>
  <c r="N599" s="1"/>
  <c r="Q143" i="57"/>
  <c r="X549" i="52"/>
  <c r="G643"/>
  <c r="N643" s="1"/>
  <c r="F178" i="57"/>
  <c r="U130"/>
  <c r="X536" i="52"/>
  <c r="S129" i="57"/>
  <c r="G168"/>
  <c r="M180"/>
  <c r="H121"/>
  <c r="S165"/>
  <c r="G149"/>
  <c r="U114"/>
  <c r="X588" i="52"/>
  <c r="Z679"/>
  <c r="AG679" s="1"/>
  <c r="L161" i="57"/>
  <c r="N161" s="1"/>
  <c r="X424" i="52"/>
  <c r="G568"/>
  <c r="X568"/>
  <c r="Q146" i="57"/>
  <c r="L94"/>
  <c r="N94" s="1"/>
  <c r="G609" i="52"/>
  <c r="X357"/>
  <c r="H200" i="57"/>
  <c r="S136"/>
  <c r="Q160"/>
  <c r="O83"/>
  <c r="M135"/>
  <c r="T177"/>
  <c r="I110"/>
  <c r="Z674" i="52"/>
  <c r="AG674" s="1"/>
  <c r="T89" i="57"/>
  <c r="S97"/>
  <c r="G135"/>
  <c r="S156"/>
  <c r="E155"/>
  <c r="M178"/>
  <c r="H136"/>
  <c r="I174"/>
  <c r="U172"/>
  <c r="Y125" i="38"/>
  <c r="G2146" i="50" s="1"/>
  <c r="E130" i="57"/>
  <c r="G678" i="52"/>
  <c r="O97" i="57"/>
  <c r="M163"/>
  <c r="L101"/>
  <c r="N101" s="1"/>
  <c r="G485" i="52"/>
  <c r="X485" s="1"/>
  <c r="S189" i="57"/>
  <c r="P160"/>
  <c r="X491" i="52"/>
  <c r="M85" i="57"/>
  <c r="I180"/>
  <c r="M110"/>
  <c r="X421" i="52"/>
  <c r="T112" i="57"/>
  <c r="Z570" i="52"/>
  <c r="AG570" s="1"/>
  <c r="T192" i="57"/>
  <c r="Y120" i="38"/>
  <c r="G2141" i="50" s="1"/>
  <c r="G119" i="62" s="1"/>
  <c r="U177" i="57"/>
  <c r="R132"/>
  <c r="Z469" i="52"/>
  <c r="AG469"/>
  <c r="M103" i="57"/>
  <c r="F147"/>
  <c r="H85"/>
  <c r="H77"/>
  <c r="G559" i="52"/>
  <c r="X559"/>
  <c r="G144" i="57"/>
  <c r="L104"/>
  <c r="N104" s="1"/>
  <c r="G435" i="52"/>
  <c r="N435" s="1"/>
  <c r="Z667"/>
  <c r="AG667" s="1"/>
  <c r="X594"/>
  <c r="X539"/>
  <c r="D44"/>
  <c r="Z464"/>
  <c r="AG464" s="1"/>
  <c r="U164" i="57"/>
  <c r="X379" i="52"/>
  <c r="Z575"/>
  <c r="AG575" s="1"/>
  <c r="T200" i="57"/>
  <c r="B137"/>
  <c r="U160"/>
  <c r="G461" i="52"/>
  <c r="A136" i="57"/>
  <c r="L128"/>
  <c r="N128" s="1"/>
  <c r="I116"/>
  <c r="U88"/>
  <c r="U95"/>
  <c r="D134"/>
  <c r="P137"/>
  <c r="Z672" i="52"/>
  <c r="AG672"/>
  <c r="R138" i="57"/>
  <c r="H153"/>
  <c r="H134"/>
  <c r="D159"/>
  <c r="M171"/>
  <c r="L133"/>
  <c r="N133" s="1"/>
  <c r="G454" i="52"/>
  <c r="N454" s="1"/>
  <c r="G554"/>
  <c r="X554" s="1"/>
  <c r="H150" i="57"/>
  <c r="F190"/>
  <c r="Z581" i="52"/>
  <c r="AG581" s="1"/>
  <c r="Y89" i="38"/>
  <c r="G2110" i="50" s="1"/>
  <c r="B153" i="57"/>
  <c r="O161"/>
  <c r="M98"/>
  <c r="O182"/>
  <c r="M88"/>
  <c r="U168"/>
  <c r="T184"/>
  <c r="X635" i="52"/>
  <c r="T106" i="57"/>
  <c r="N170"/>
  <c r="Y143" i="38"/>
  <c r="G2164" i="50" s="1"/>
  <c r="G142" i="62" s="1"/>
  <c r="R176" i="57"/>
  <c r="U133"/>
  <c r="Z562" i="52"/>
  <c r="AG562" s="1"/>
  <c r="X504"/>
  <c r="H116" i="57"/>
  <c r="M149"/>
  <c r="O144"/>
  <c r="G440" i="52"/>
  <c r="N440" s="1"/>
  <c r="M126" i="57"/>
  <c r="G193"/>
  <c r="S150"/>
  <c r="Z650" i="52"/>
  <c r="AG650" s="1"/>
  <c r="X405"/>
  <c r="X442"/>
  <c r="Z502"/>
  <c r="AG502" s="1"/>
  <c r="X382"/>
  <c r="L77" i="57"/>
  <c r="N77" s="1"/>
  <c r="G569" i="52"/>
  <c r="Z615"/>
  <c r="AG615" s="1"/>
  <c r="E201" i="57"/>
  <c r="M137"/>
  <c r="D171"/>
  <c r="Z408" i="52"/>
  <c r="AG408"/>
  <c r="T137" i="57"/>
  <c r="H122"/>
  <c r="G612" i="52"/>
  <c r="X612"/>
  <c r="U86" i="57"/>
  <c r="S93"/>
  <c r="G133"/>
  <c r="R135"/>
  <c r="X375" i="52"/>
  <c r="Q137" i="57"/>
  <c r="O154"/>
  <c r="O133"/>
  <c r="F157"/>
  <c r="P159"/>
  <c r="Y121" i="38"/>
  <c r="G2142" i="50"/>
  <c r="A135" i="57"/>
  <c r="Z526" i="52"/>
  <c r="AG526" s="1"/>
  <c r="T141" i="57"/>
  <c r="H115"/>
  <c r="G166"/>
  <c r="Z628" i="52"/>
  <c r="AG628" s="1"/>
  <c r="A132" i="57"/>
  <c r="I177"/>
  <c r="U105"/>
  <c r="X418" i="52"/>
  <c r="F193" i="57"/>
  <c r="X365" i="52"/>
  <c r="L87" i="57"/>
  <c r="N87" s="1"/>
  <c r="X665" i="52"/>
  <c r="T182" i="57"/>
  <c r="T122"/>
  <c r="Y90" i="38"/>
  <c r="G2111" i="50"/>
  <c r="H2111" s="1"/>
  <c r="Y133" i="38"/>
  <c r="G2154" i="50" s="1"/>
  <c r="H2154" s="1"/>
  <c r="H132" i="62" s="1"/>
  <c r="A175" i="57"/>
  <c r="Q135"/>
  <c r="U163"/>
  <c r="Z471" i="52"/>
  <c r="AG471"/>
  <c r="Z631"/>
  <c r="AG631"/>
  <c r="I145" i="57"/>
  <c r="H143"/>
  <c r="G140"/>
  <c r="Z550" i="52"/>
  <c r="AG550" s="1"/>
  <c r="H100" i="57"/>
  <c r="H103"/>
  <c r="Z607" i="52"/>
  <c r="AG607" s="1"/>
  <c r="Z610"/>
  <c r="AG610" s="1"/>
  <c r="G610"/>
  <c r="N610" s="1"/>
  <c r="Z678"/>
  <c r="AG678" s="1"/>
  <c r="Z556"/>
  <c r="AG556" s="1"/>
  <c r="L180" i="57"/>
  <c r="N180" s="1"/>
  <c r="X401" i="52"/>
  <c r="F202" i="57"/>
  <c r="L138"/>
  <c r="N138" s="1"/>
  <c r="T171"/>
  <c r="G181"/>
  <c r="F139"/>
  <c r="Z508" i="52"/>
  <c r="AG508" s="1"/>
  <c r="X388"/>
  <c r="G626"/>
  <c r="N626"/>
  <c r="T167" i="57"/>
  <c r="U84"/>
  <c r="T90"/>
  <c r="D201"/>
  <c r="O203"/>
  <c r="A254" i="52"/>
  <c r="E133" i="57"/>
  <c r="H172"/>
  <c r="O200"/>
  <c r="E138"/>
  <c r="S134"/>
  <c r="T176"/>
  <c r="M138"/>
  <c r="X540" i="52"/>
  <c r="G408"/>
  <c r="O167" i="57"/>
  <c r="T117"/>
  <c r="Y157" i="38"/>
  <c r="G380" i="46" s="1"/>
  <c r="R172" i="57"/>
  <c r="X457" i="52"/>
  <c r="G571"/>
  <c r="X571" s="1"/>
  <c r="H146" i="57"/>
  <c r="X407" i="52"/>
  <c r="H151" i="57"/>
  <c r="Z629" i="52"/>
  <c r="AG629"/>
  <c r="X389"/>
  <c r="G633"/>
  <c r="E214" i="57"/>
  <c r="B201"/>
  <c r="L154"/>
  <c r="N154"/>
  <c r="L171"/>
  <c r="N171"/>
  <c r="U137"/>
  <c r="X367" i="52"/>
  <c r="G180" i="57"/>
  <c r="H123"/>
  <c r="T129"/>
  <c r="X383" i="52"/>
  <c r="M145" i="57"/>
  <c r="M109"/>
  <c r="S109"/>
  <c r="O116"/>
  <c r="M144"/>
  <c r="X590" i="52"/>
  <c r="Z470"/>
  <c r="AG470"/>
  <c r="Z632"/>
  <c r="AG632"/>
  <c r="O88" i="57"/>
  <c r="X403" i="52"/>
  <c r="G460"/>
  <c r="X460"/>
  <c r="Y117" i="38"/>
  <c r="G2138" i="50"/>
  <c r="H2138" s="1"/>
  <c r="H116" i="62" s="1"/>
  <c r="Y103" i="38"/>
  <c r="G2124" i="50"/>
  <c r="G102" i="62" s="1"/>
  <c r="Q203" i="57"/>
  <c r="P139"/>
  <c r="B173"/>
  <c r="G197"/>
  <c r="D155"/>
  <c r="G644" i="52"/>
  <c r="U118" i="57"/>
  <c r="U79"/>
  <c r="T88"/>
  <c r="G196"/>
  <c r="U197"/>
  <c r="P161"/>
  <c r="R203"/>
  <c r="O175"/>
  <c r="H197"/>
  <c r="D202"/>
  <c r="R200"/>
  <c r="T172"/>
  <c r="F156"/>
  <c r="L99"/>
  <c r="N99" s="1"/>
  <c r="U106"/>
  <c r="R180"/>
  <c r="H108"/>
  <c r="Z666" i="52"/>
  <c r="AG666"/>
  <c r="T203" i="57"/>
  <c r="Y104" i="38"/>
  <c r="G2125" i="50" s="1"/>
  <c r="X410" i="52"/>
  <c r="U194" i="57"/>
  <c r="O86"/>
  <c r="X546" i="52"/>
  <c r="I99" i="57"/>
  <c r="G604" i="52"/>
  <c r="M115" i="57"/>
  <c r="S117"/>
  <c r="T201"/>
  <c r="M153"/>
  <c r="Y80" i="38"/>
  <c r="G2101" i="50"/>
  <c r="H2101" s="1"/>
  <c r="H79" i="62" s="1"/>
  <c r="E139" i="57"/>
  <c r="G575" i="52"/>
  <c r="X575" s="1"/>
  <c r="X399"/>
  <c r="L108" i="57"/>
  <c r="N108" s="1"/>
  <c r="I84"/>
  <c r="G469" i="52"/>
  <c r="U117" i="57"/>
  <c r="M143"/>
  <c r="F145"/>
  <c r="I104"/>
  <c r="Z458" i="52"/>
  <c r="AG458" s="1"/>
  <c r="M112" i="57"/>
  <c r="G194"/>
  <c r="X666" i="52"/>
  <c r="G514"/>
  <c r="N514" s="1"/>
  <c r="Z648"/>
  <c r="AG648" s="1"/>
  <c r="O122" i="57"/>
  <c r="X362" i="52"/>
  <c r="X434"/>
  <c r="M193" i="57"/>
  <c r="U203"/>
  <c r="T139"/>
  <c r="F173"/>
  <c r="Q197"/>
  <c r="E156"/>
  <c r="X664" i="52"/>
  <c r="U104" i="57"/>
  <c r="S79"/>
  <c r="U87"/>
  <c r="D195"/>
  <c r="O204"/>
  <c r="G672" i="52"/>
  <c r="X672" s="1"/>
  <c r="Q202" i="57"/>
  <c r="H178"/>
  <c r="O196"/>
  <c r="H198"/>
  <c r="E203"/>
  <c r="S171"/>
  <c r="I157"/>
  <c r="F186"/>
  <c r="U142"/>
  <c r="F163"/>
  <c r="S114"/>
  <c r="B134"/>
  <c r="I196"/>
  <c r="Z499" i="52"/>
  <c r="AG499" s="1"/>
  <c r="AN446"/>
  <c r="H102" i="57"/>
  <c r="T126"/>
  <c r="H104"/>
  <c r="X378" i="52"/>
  <c r="H94" i="57"/>
  <c r="M188"/>
  <c r="G175"/>
  <c r="I139"/>
  <c r="X577" i="52"/>
  <c r="O190" i="57"/>
  <c r="Z477" i="52"/>
  <c r="AG477" s="1"/>
  <c r="Q150" i="57"/>
  <c r="G167"/>
  <c r="X361" i="52"/>
  <c r="G537"/>
  <c r="N537"/>
  <c r="G679"/>
  <c r="H89" i="57"/>
  <c r="L195"/>
  <c r="N195"/>
  <c r="P130"/>
  <c r="O172"/>
  <c r="Q132"/>
  <c r="Z605" i="52"/>
  <c r="AG605" s="1"/>
  <c r="S118" i="57"/>
  <c r="S99"/>
  <c r="P177"/>
  <c r="Z440" i="52"/>
  <c r="AG440" s="1"/>
  <c r="H174" i="57"/>
  <c r="E178"/>
  <c r="S179"/>
  <c r="U144"/>
  <c r="U127"/>
  <c r="O94"/>
  <c r="O84"/>
  <c r="F138"/>
  <c r="U189"/>
  <c r="S191"/>
  <c r="Z676" i="52"/>
  <c r="AG676" s="1"/>
  <c r="Y105" i="38"/>
  <c r="G2126" i="50" s="1"/>
  <c r="G104" i="62" s="1"/>
  <c r="H2126" i="50"/>
  <c r="H104" i="62" s="1"/>
  <c r="C212" i="57"/>
  <c r="P172"/>
  <c r="I155"/>
  <c r="Z472" i="52"/>
  <c r="AG472" s="1"/>
  <c r="H95" i="57"/>
  <c r="U110"/>
  <c r="T109"/>
  <c r="I141"/>
  <c r="G646" i="52"/>
  <c r="X406"/>
  <c r="G600"/>
  <c r="N600" s="1"/>
  <c r="Z505"/>
  <c r="AG505" s="1"/>
  <c r="U195" i="57"/>
  <c r="T130"/>
  <c r="S172"/>
  <c r="O134"/>
  <c r="G419" i="52"/>
  <c r="S102" i="57"/>
  <c r="U91"/>
  <c r="T173"/>
  <c r="AN497" i="52"/>
  <c r="F153" i="57"/>
  <c r="H155"/>
  <c r="S175"/>
  <c r="U204"/>
  <c r="U128"/>
  <c r="I98"/>
  <c r="I156"/>
  <c r="E157"/>
  <c r="L109"/>
  <c r="N109" s="1"/>
  <c r="G468" i="52"/>
  <c r="X468" s="1"/>
  <c r="Z600"/>
  <c r="AG600" s="1"/>
  <c r="Z533"/>
  <c r="AG533" s="1"/>
  <c r="T160" i="57"/>
  <c r="Q157"/>
  <c r="X398" i="52"/>
  <c r="G182" i="57"/>
  <c r="U151"/>
  <c r="T162"/>
  <c r="G163"/>
  <c r="Z573" i="52"/>
  <c r="AG573" s="1"/>
  <c r="T151" i="57"/>
  <c r="Z519" i="52"/>
  <c r="AG519" s="1"/>
  <c r="X451"/>
  <c r="D196" i="57"/>
  <c r="O132"/>
  <c r="G174"/>
  <c r="I138"/>
  <c r="G605" i="52"/>
  <c r="X605"/>
  <c r="T101" i="57"/>
  <c r="S91"/>
  <c r="L172"/>
  <c r="N172"/>
  <c r="R160"/>
  <c r="E154"/>
  <c r="A152"/>
  <c r="D174"/>
  <c r="Z643" i="52"/>
  <c r="AG643"/>
  <c r="L96" i="57"/>
  <c r="N96"/>
  <c r="M116"/>
  <c r="I153"/>
  <c r="A159"/>
  <c r="M170"/>
  <c r="Z521" i="52"/>
  <c r="AG521"/>
  <c r="Z485"/>
  <c r="AG485"/>
  <c r="G618"/>
  <c r="X618"/>
  <c r="P131" i="57"/>
  <c r="U157"/>
  <c r="G517" i="52"/>
  <c r="X517"/>
  <c r="G187" i="57"/>
  <c r="G188"/>
  <c r="M191"/>
  <c r="T110"/>
  <c r="M151"/>
  <c r="Z642" i="52"/>
  <c r="AG642" s="1"/>
  <c r="Q148" i="57"/>
  <c r="Z574" i="52"/>
  <c r="AG574" s="1"/>
  <c r="L97" i="57"/>
  <c r="N97" s="1"/>
  <c r="I115"/>
  <c r="R133"/>
  <c r="Q174"/>
  <c r="S138"/>
  <c r="G455" i="52"/>
  <c r="U100" i="57"/>
  <c r="U89"/>
  <c r="T133"/>
  <c r="E159"/>
  <c r="R131"/>
  <c r="I134"/>
  <c r="D160"/>
  <c r="Z551" i="52"/>
  <c r="AG551" s="1"/>
  <c r="O148" i="57"/>
  <c r="O93"/>
  <c r="B199"/>
  <c r="A171"/>
  <c r="O193"/>
  <c r="T161"/>
  <c r="G524" i="52"/>
  <c r="Z478"/>
  <c r="AG478" s="1"/>
  <c r="Y114" i="38"/>
  <c r="G2135" i="50" s="1"/>
  <c r="D131" i="57"/>
  <c r="M158"/>
  <c r="X589" i="52"/>
  <c r="M127" i="57"/>
  <c r="M182"/>
  <c r="F183"/>
  <c r="G607" i="52"/>
  <c r="X607" s="1"/>
  <c r="I111" i="57"/>
  <c r="Z435" i="52"/>
  <c r="AG435"/>
  <c r="Z489"/>
  <c r="AG489"/>
  <c r="Z599"/>
  <c r="AG599"/>
  <c r="S112" i="57"/>
  <c r="X486" i="52"/>
  <c r="H135" i="57"/>
  <c r="U174"/>
  <c r="R139"/>
  <c r="G414" i="52"/>
  <c r="S100" i="57"/>
  <c r="S89"/>
  <c r="L132"/>
  <c r="N132"/>
  <c r="F158"/>
  <c r="Y124" i="38"/>
  <c r="G2145" i="50" s="1"/>
  <c r="B130" i="57"/>
  <c r="B131"/>
  <c r="G439" i="52"/>
  <c r="N439" s="1"/>
  <c r="M204" i="57"/>
  <c r="O95"/>
  <c r="P201"/>
  <c r="AE446" i="52"/>
  <c r="M147" i="57"/>
  <c r="U191"/>
  <c r="M690" i="52"/>
  <c r="Z613"/>
  <c r="AG613"/>
  <c r="B132" i="57"/>
  <c r="I173"/>
  <c r="U112"/>
  <c r="G675" i="52"/>
  <c r="H82" i="57"/>
  <c r="F151"/>
  <c r="F191"/>
  <c r="M106"/>
  <c r="G631" i="52"/>
  <c r="X631" s="1"/>
  <c r="S167" i="57"/>
  <c r="T121"/>
  <c r="Z641" i="52"/>
  <c r="AG641" s="1"/>
  <c r="L113" i="57"/>
  <c r="N113" s="1"/>
  <c r="R137"/>
  <c r="R177"/>
  <c r="H159"/>
  <c r="F164"/>
  <c r="S92"/>
  <c r="T83"/>
  <c r="G159"/>
  <c r="M192"/>
  <c r="L135"/>
  <c r="N135" s="1"/>
  <c r="O157"/>
  <c r="S131"/>
  <c r="Q171"/>
  <c r="G162"/>
  <c r="Z586" i="52"/>
  <c r="AG586" s="1"/>
  <c r="X446"/>
  <c r="Y138" i="38"/>
  <c r="G2159" i="50"/>
  <c r="G137" i="62" s="1"/>
  <c r="G489" i="52"/>
  <c r="X663"/>
  <c r="F146" i="57"/>
  <c r="X429" i="52"/>
  <c r="X380"/>
  <c r="P152" i="57"/>
  <c r="D212"/>
  <c r="F196"/>
  <c r="P173"/>
  <c r="Q147"/>
  <c r="L120"/>
  <c r="N120"/>
  <c r="P132"/>
  <c r="F172"/>
  <c r="G189"/>
  <c r="T116"/>
  <c r="O114"/>
  <c r="I88"/>
  <c r="O110"/>
  <c r="O77"/>
  <c r="X395" i="52"/>
  <c r="X428"/>
  <c r="T204" i="57"/>
  <c r="G641" i="52"/>
  <c r="G138" i="57"/>
  <c r="G178"/>
  <c r="T159"/>
  <c r="H148"/>
  <c r="T91"/>
  <c r="U82"/>
  <c r="G157"/>
  <c r="H101"/>
  <c r="F132"/>
  <c r="O139"/>
  <c r="L131"/>
  <c r="N131"/>
  <c r="Q196"/>
  <c r="O188"/>
  <c r="AB497" i="52"/>
  <c r="X637"/>
  <c r="Y132" i="38"/>
  <c r="G2153" i="50"/>
  <c r="H2153" s="1"/>
  <c r="Q180" i="57"/>
  <c r="H114"/>
  <c r="O89"/>
  <c r="M113"/>
  <c r="O91"/>
  <c r="X360" i="52"/>
  <c r="O107" i="57"/>
  <c r="Z624" i="52"/>
  <c r="AG624" s="1"/>
  <c r="B155" i="57"/>
  <c r="M79"/>
  <c r="D138"/>
  <c r="L200"/>
  <c r="N200" s="1"/>
  <c r="O123"/>
  <c r="P134"/>
  <c r="Y88" i="38"/>
  <c r="G2109" i="50" s="1"/>
  <c r="G170" i="57"/>
  <c r="Z675" i="52"/>
  <c r="AG675" s="1"/>
  <c r="L102" i="57"/>
  <c r="N102" s="1"/>
  <c r="H113"/>
  <c r="M101"/>
  <c r="M96"/>
  <c r="X368" i="52"/>
  <c r="O87" i="57"/>
  <c r="T149"/>
  <c r="Z633" i="52"/>
  <c r="AG633" s="1"/>
  <c r="I195" i="57"/>
  <c r="U138"/>
  <c r="L178"/>
  <c r="N178" s="1"/>
  <c r="I160"/>
  <c r="F142"/>
  <c r="U90"/>
  <c r="T79"/>
  <c r="D156"/>
  <c r="I204"/>
  <c r="L130"/>
  <c r="N130" s="1"/>
  <c r="H138"/>
  <c r="B154"/>
  <c r="A198"/>
  <c r="H119"/>
  <c r="Z514" i="52"/>
  <c r="AG514" s="1"/>
  <c r="G670"/>
  <c r="Y129" i="38"/>
  <c r="G2150" i="50" s="1"/>
  <c r="H2150" s="1"/>
  <c r="H128" i="62" s="1"/>
  <c r="U108" i="57"/>
  <c r="O141"/>
  <c r="M94"/>
  <c r="B161"/>
  <c r="I96"/>
  <c r="N168"/>
  <c r="O125"/>
  <c r="Z659" i="52"/>
  <c r="AG659"/>
  <c r="T85" i="57"/>
  <c r="H203"/>
  <c r="G436" i="52"/>
  <c r="G179" i="57"/>
  <c r="B138"/>
  <c r="Y100" i="38"/>
  <c r="G2121" i="50" s="1"/>
  <c r="H2121" s="1"/>
  <c r="H99" i="62" s="1"/>
  <c r="H204" i="57"/>
  <c r="Z644" i="52"/>
  <c r="AG644" s="1"/>
  <c r="L112" i="57"/>
  <c r="N112" s="1"/>
  <c r="H80"/>
  <c r="O120"/>
  <c r="M77"/>
  <c r="G615" i="52"/>
  <c r="N615" s="1"/>
  <c r="M114" i="57"/>
  <c r="Z538" i="52"/>
  <c r="AG538"/>
  <c r="Z468"/>
  <c r="AG468"/>
  <c r="S195" i="57"/>
  <c r="D139"/>
  <c r="Q178"/>
  <c r="R171"/>
  <c r="M83"/>
  <c r="S86"/>
  <c r="G139"/>
  <c r="O186"/>
  <c r="E202"/>
  <c r="O130"/>
  <c r="G153"/>
  <c r="I200"/>
  <c r="M161"/>
  <c r="G183"/>
  <c r="AA498" i="52"/>
  <c r="A154" i="57"/>
  <c r="L106"/>
  <c r="N106"/>
  <c r="G147"/>
  <c r="X356" i="52"/>
  <c r="Y107" i="38"/>
  <c r="G2128" i="50"/>
  <c r="G106" i="62" s="1"/>
  <c r="I161" i="57"/>
  <c r="Y108" i="38"/>
  <c r="G2129" i="50" s="1"/>
  <c r="H2129" s="1"/>
  <c r="H107" i="62" s="1"/>
  <c r="F170" i="57"/>
  <c r="F184"/>
  <c r="S115"/>
  <c r="I86"/>
  <c r="B180"/>
  <c r="U123"/>
  <c r="E213"/>
  <c r="R201"/>
  <c r="G585" i="52"/>
  <c r="G192" i="57"/>
  <c r="O149"/>
  <c r="S168"/>
  <c r="U148"/>
  <c r="B139"/>
  <c r="T156"/>
  <c r="Y116" i="38"/>
  <c r="G2137" i="50"/>
  <c r="G115" i="62" s="1"/>
  <c r="I148" i="57"/>
  <c r="Z571" i="52"/>
  <c r="AG571" s="1"/>
  <c r="G574"/>
  <c r="M190" i="57"/>
  <c r="O101"/>
  <c r="O79"/>
  <c r="S190"/>
  <c r="F181"/>
  <c r="I100"/>
  <c r="A180"/>
  <c r="F198"/>
  <c r="M155"/>
  <c r="B196"/>
  <c r="O174"/>
  <c r="S192"/>
  <c r="S81"/>
  <c r="G130"/>
  <c r="G650" i="52"/>
  <c r="E198" i="57"/>
  <c r="O198"/>
  <c r="Q176"/>
  <c r="D177"/>
  <c r="I137"/>
  <c r="T165"/>
  <c r="O170"/>
  <c r="T180"/>
  <c r="B174"/>
  <c r="X422" i="52"/>
  <c r="X531"/>
  <c r="G190" i="57"/>
  <c r="G622" i="52"/>
  <c r="X622" s="1"/>
  <c r="AG406"/>
  <c r="G158" i="57"/>
  <c r="T158"/>
  <c r="M197"/>
  <c r="G490" i="52"/>
  <c r="Z604"/>
  <c r="AG604" s="1"/>
  <c r="U161" i="57"/>
  <c r="F148"/>
  <c r="X638" i="52"/>
  <c r="O85" i="57"/>
  <c r="G648" i="52"/>
  <c r="G472"/>
  <c r="X472" s="1"/>
  <c r="G146" i="57"/>
  <c r="Z438" i="52"/>
  <c r="AG438"/>
  <c r="L123" i="57"/>
  <c r="N123"/>
  <c r="M198"/>
  <c r="R155"/>
  <c r="R196"/>
  <c r="L176"/>
  <c r="N176" s="1"/>
  <c r="G530" i="52"/>
  <c r="X530" s="1"/>
  <c r="T77" i="57"/>
  <c r="D199"/>
  <c r="Z564" i="52"/>
  <c r="AG564" s="1"/>
  <c r="F197" i="57"/>
  <c r="H195"/>
  <c r="S178"/>
  <c r="Y123" i="38"/>
  <c r="G2144" i="50" s="1"/>
  <c r="Q200" i="57"/>
  <c r="AN498" i="52"/>
  <c r="X431"/>
  <c r="M148" i="57"/>
  <c r="X532" i="52"/>
  <c r="M104" i="57"/>
  <c r="X373" i="52"/>
  <c r="L204" i="57"/>
  <c r="N204"/>
  <c r="F192"/>
  <c r="S186"/>
  <c r="Y101" i="38"/>
  <c r="G2122" i="50"/>
  <c r="G100" i="62" s="1"/>
  <c r="R198" i="57"/>
  <c r="Q156"/>
  <c r="D198"/>
  <c r="AB498" i="52"/>
  <c r="Z525"/>
  <c r="AG525" s="1"/>
  <c r="T181" i="57"/>
  <c r="G198"/>
  <c r="X561" i="52"/>
  <c r="Y84" i="38"/>
  <c r="G2105" i="50"/>
  <c r="G83" i="62" s="1"/>
  <c r="Y118" i="38"/>
  <c r="G2139" i="50" s="1"/>
  <c r="L152" i="57"/>
  <c r="N152" s="1"/>
  <c r="P154"/>
  <c r="A155"/>
  <c r="M186"/>
  <c r="O102"/>
  <c r="I149"/>
  <c r="R174"/>
  <c r="G602" i="52"/>
  <c r="U122" i="57"/>
  <c r="I97"/>
  <c r="Z509" i="52"/>
  <c r="AG509" s="1"/>
  <c r="F179" i="57"/>
  <c r="Y141" i="38"/>
  <c r="G2162" i="50" s="1"/>
  <c r="L202" i="57"/>
  <c r="N202" s="1"/>
  <c r="Z529" i="52"/>
  <c r="AG529" s="1"/>
  <c r="T191" i="57"/>
  <c r="A222" i="52"/>
  <c r="H124" i="57"/>
  <c r="X447" i="52"/>
  <c r="X595"/>
  <c r="G458"/>
  <c r="X458"/>
  <c r="G601"/>
  <c r="X601"/>
  <c r="U188" i="57"/>
  <c r="S166"/>
  <c r="Y109" i="38"/>
  <c r="G2130" i="50"/>
  <c r="G108" i="62" s="1"/>
  <c r="Q199" i="57"/>
  <c r="H157"/>
  <c r="E199"/>
  <c r="A259" i="52"/>
  <c r="Q144" i="57"/>
  <c r="H118"/>
  <c r="Y102" i="38"/>
  <c r="G2123" i="50" s="1"/>
  <c r="H2123"/>
  <c r="H101" i="62" s="1"/>
  <c r="G565" i="52"/>
  <c r="A173" i="57"/>
  <c r="Y110" i="38"/>
  <c r="G2131" i="50" s="1"/>
  <c r="G109" i="62"/>
  <c r="U132" i="57"/>
  <c r="S196"/>
  <c r="B204"/>
  <c r="X444" i="52"/>
  <c r="I113" i="57"/>
  <c r="H149"/>
  <c r="Y92" i="38"/>
  <c r="G2113" i="50"/>
  <c r="G91" i="62" s="1"/>
  <c r="A238" i="52"/>
  <c r="L100" i="57"/>
  <c r="N100" s="1"/>
  <c r="O109"/>
  <c r="T185"/>
  <c r="A130"/>
  <c r="G564" i="52"/>
  <c r="G572"/>
  <c r="N572" s="1"/>
  <c r="Z623"/>
  <c r="AG623" s="1"/>
  <c r="O111" i="57"/>
  <c r="C214"/>
  <c r="I158"/>
  <c r="T118"/>
  <c r="X547" i="52"/>
  <c r="X415"/>
  <c r="Y77" i="38"/>
  <c r="G2098" i="50" s="1"/>
  <c r="G76" i="62" s="1"/>
  <c r="S137" i="57"/>
  <c r="M181"/>
  <c r="G526" i="52"/>
  <c r="H141" i="57"/>
  <c r="A200"/>
  <c r="Q151"/>
  <c r="M92"/>
  <c r="S188"/>
  <c r="Y72" i="38"/>
  <c r="G2093" i="50" s="1"/>
  <c r="Y137" i="38"/>
  <c r="G2158" i="50"/>
  <c r="G136" i="62" s="1"/>
  <c r="M203" i="57"/>
  <c r="Z474" i="52"/>
  <c r="AG474" s="1"/>
  <c r="X443"/>
  <c r="I108" i="57"/>
  <c r="G620" i="52"/>
  <c r="X620" s="1"/>
  <c r="S184" i="57"/>
  <c r="X652" i="52"/>
  <c r="X370"/>
  <c r="G556"/>
  <c r="N556" s="1"/>
  <c r="S146" i="57"/>
  <c r="G527" i="52"/>
  <c r="N527"/>
  <c r="S201" i="57"/>
  <c r="E158"/>
  <c r="O199"/>
  <c r="I102"/>
  <c r="T105"/>
  <c r="L118"/>
  <c r="N118" s="1"/>
  <c r="Y86" i="38"/>
  <c r="G2107" i="50" s="1"/>
  <c r="H2107" s="1"/>
  <c r="H85" i="62" s="1"/>
  <c r="G630" i="52"/>
  <c r="M174" i="57"/>
  <c r="U131"/>
  <c r="P202"/>
  <c r="S130"/>
  <c r="G623" i="52"/>
  <c r="X560"/>
  <c r="M128" i="57"/>
  <c r="I143"/>
  <c r="Z426" i="52"/>
  <c r="AG426"/>
  <c r="H161" i="57"/>
  <c r="O105"/>
  <c r="G682" i="52"/>
  <c r="F131" i="57"/>
  <c r="X488" i="52"/>
  <c r="Z630"/>
  <c r="AG630" s="1"/>
  <c r="I105" i="57"/>
  <c r="X427" i="52"/>
  <c r="Z585"/>
  <c r="AG585" s="1"/>
  <c r="B202" i="57"/>
  <c r="B200"/>
  <c r="T193"/>
  <c r="U175"/>
  <c r="I106"/>
  <c r="O119"/>
  <c r="C417" i="52"/>
  <c r="C465" s="1"/>
  <c r="O369"/>
  <c r="G198" i="38" s="1"/>
  <c r="C434" i="52"/>
  <c r="C482" s="1"/>
  <c r="C530" s="1"/>
  <c r="C578" s="1"/>
  <c r="C626" s="1"/>
  <c r="C674" s="1"/>
  <c r="C387"/>
  <c r="O387" s="1"/>
  <c r="Q387"/>
  <c r="AQ211" i="50"/>
  <c r="K211"/>
  <c r="T399"/>
  <c r="T404"/>
  <c r="T403"/>
  <c r="T400"/>
  <c r="T402"/>
  <c r="K386"/>
  <c r="BE400" s="1"/>
  <c r="T387"/>
  <c r="Y401" s="1"/>
  <c r="T643"/>
  <c r="T647"/>
  <c r="T644"/>
  <c r="K629"/>
  <c r="T646"/>
  <c r="T641"/>
  <c r="T642"/>
  <c r="T630"/>
  <c r="Y645" s="1"/>
  <c r="T1457"/>
  <c r="T1456"/>
  <c r="T1449"/>
  <c r="T1453"/>
  <c r="T1455"/>
  <c r="T1440"/>
  <c r="Y1451" s="1"/>
  <c r="AY1451" s="1"/>
  <c r="T1452"/>
  <c r="T1451"/>
  <c r="B362" i="52"/>
  <c r="B410" s="1"/>
  <c r="B458" s="1"/>
  <c r="B506" s="1"/>
  <c r="B554" s="1"/>
  <c r="B602" s="1"/>
  <c r="B650" s="1"/>
  <c r="B409"/>
  <c r="B457"/>
  <c r="B505" s="1"/>
  <c r="B553" s="1"/>
  <c r="B601" s="1"/>
  <c r="B649" s="1"/>
  <c r="BD1179" i="50"/>
  <c r="AA533"/>
  <c r="AH533" s="1"/>
  <c r="T1046"/>
  <c r="T1050"/>
  <c r="AE128" i="58"/>
  <c r="BD1125" i="50"/>
  <c r="T1602"/>
  <c r="BD1206"/>
  <c r="G92" i="57"/>
  <c r="G120"/>
  <c r="G119"/>
  <c r="G106"/>
  <c r="G93"/>
  <c r="G84"/>
  <c r="X580" i="52"/>
  <c r="AA1104" i="50"/>
  <c r="AH1104" s="1"/>
  <c r="N390" i="52"/>
  <c r="AG424"/>
  <c r="AG431"/>
  <c r="T620" i="50"/>
  <c r="T617"/>
  <c r="T614"/>
  <c r="K602"/>
  <c r="AQ1075"/>
  <c r="K1075" s="1"/>
  <c r="I193" i="57"/>
  <c r="I162"/>
  <c r="I192"/>
  <c r="I189"/>
  <c r="I184"/>
  <c r="I129"/>
  <c r="I112"/>
  <c r="D113" i="10"/>
  <c r="F169" i="38"/>
  <c r="F65" i="62"/>
  <c r="C274" i="52"/>
  <c r="N25" i="38"/>
  <c r="T2007" i="50"/>
  <c r="Y2021" s="1"/>
  <c r="T1044"/>
  <c r="G129" i="57"/>
  <c r="BD990" i="50"/>
  <c r="F27" i="60"/>
  <c r="G78" i="57"/>
  <c r="T1668" i="50"/>
  <c r="BD1476"/>
  <c r="R256" i="58"/>
  <c r="U251"/>
  <c r="L266" s="1"/>
  <c r="BA250" s="1"/>
  <c r="E141" i="57"/>
  <c r="E187"/>
  <c r="E186"/>
  <c r="T1665" i="50"/>
  <c r="BD1530"/>
  <c r="F55" i="28"/>
  <c r="G126" i="57"/>
  <c r="BD1719" i="50"/>
  <c r="X480" i="52"/>
  <c r="AA807" i="50"/>
  <c r="AH807" s="1"/>
  <c r="K1655"/>
  <c r="Q1665" s="1"/>
  <c r="T1656"/>
  <c r="K1238"/>
  <c r="AV1238"/>
  <c r="I183" i="57"/>
  <c r="G109"/>
  <c r="BD126" i="50"/>
  <c r="BD2070"/>
  <c r="AV563"/>
  <c r="I181" i="57"/>
  <c r="AA259" i="58"/>
  <c r="AF259" s="1"/>
  <c r="AG259" s="1"/>
  <c r="I168" i="57"/>
  <c r="T1617" i="50"/>
  <c r="T1611"/>
  <c r="T1613"/>
  <c r="AQ1670"/>
  <c r="K1670"/>
  <c r="BD1071"/>
  <c r="BD1584"/>
  <c r="BD450"/>
  <c r="BD72"/>
  <c r="F358" i="52"/>
  <c r="F375" s="1"/>
  <c r="F423"/>
  <c r="F471" s="1"/>
  <c r="F519" s="1"/>
  <c r="F567" s="1"/>
  <c r="F615" s="1"/>
  <c r="F663" s="1"/>
  <c r="BD1395" i="50"/>
  <c r="BD774"/>
  <c r="BD1665"/>
  <c r="BD342"/>
  <c r="BD1908"/>
  <c r="BD153"/>
  <c r="BD1557"/>
  <c r="BD801"/>
  <c r="BD1746"/>
  <c r="BD396"/>
  <c r="BD1611"/>
  <c r="BD315"/>
  <c r="BD1152"/>
  <c r="BD909"/>
  <c r="BD1260"/>
  <c r="BD1044"/>
  <c r="BD963"/>
  <c r="I187" i="57"/>
  <c r="T603" i="50"/>
  <c r="Y612" s="1"/>
  <c r="M612" s="1"/>
  <c r="BD288"/>
  <c r="I182" i="57"/>
  <c r="BD504" i="50"/>
  <c r="AG420" i="52"/>
  <c r="AA429" i="50"/>
  <c r="AH429" s="1"/>
  <c r="Y136" i="58"/>
  <c r="K373" i="50"/>
  <c r="AV373"/>
  <c r="X576" i="52"/>
  <c r="X583"/>
  <c r="AA1181" i="50"/>
  <c r="AH1181" s="1"/>
  <c r="AA1965"/>
  <c r="AH1965" s="1"/>
  <c r="X453" i="52"/>
  <c r="X456"/>
  <c r="P90" i="57"/>
  <c r="P78"/>
  <c r="F366" i="52"/>
  <c r="F414" s="1"/>
  <c r="F462" s="1"/>
  <c r="F510" s="1"/>
  <c r="F558" s="1"/>
  <c r="F606" s="1"/>
  <c r="F654" s="1"/>
  <c r="F392"/>
  <c r="F440" s="1"/>
  <c r="F488" s="1"/>
  <c r="F536" s="1"/>
  <c r="F584" s="1"/>
  <c r="F632" s="1"/>
  <c r="F680" s="1"/>
  <c r="AA318" i="50"/>
  <c r="AH318" s="1"/>
  <c r="AA830"/>
  <c r="AH830" s="1"/>
  <c r="AQ860"/>
  <c r="K860" s="1"/>
  <c r="AA1100"/>
  <c r="AH1100" s="1"/>
  <c r="N386" i="52"/>
  <c r="AA1991" i="50"/>
  <c r="AH1991" s="1"/>
  <c r="N374" i="52"/>
  <c r="AA344" i="50"/>
  <c r="AH344" s="1"/>
  <c r="AA1560"/>
  <c r="AH1560" s="1"/>
  <c r="AA1695"/>
  <c r="AH1695" s="1"/>
  <c r="AG425" i="52"/>
  <c r="AA237" i="50"/>
  <c r="AH237" s="1"/>
  <c r="AA375"/>
  <c r="AH375" s="1"/>
  <c r="X459" i="52"/>
  <c r="AA1667" i="50"/>
  <c r="AH1667" s="1"/>
  <c r="N362" i="52"/>
  <c r="N407"/>
  <c r="N380"/>
  <c r="AA1266" i="50"/>
  <c r="AH1266" s="1"/>
  <c r="O408" i="52"/>
  <c r="Q408"/>
  <c r="AA398" i="50"/>
  <c r="AH398" s="1"/>
  <c r="AA939"/>
  <c r="AH939" s="1"/>
  <c r="AA1509"/>
  <c r="AH1509" s="1"/>
  <c r="AA1614"/>
  <c r="AH1614" s="1"/>
  <c r="N385" i="52"/>
  <c r="AC534"/>
  <c r="AC515"/>
  <c r="AC535"/>
  <c r="AC500"/>
  <c r="AC532"/>
  <c r="AC528"/>
  <c r="AC510"/>
  <c r="AQ779" i="50"/>
  <c r="K779" s="1"/>
  <c r="K980"/>
  <c r="T996"/>
  <c r="T992"/>
  <c r="T997"/>
  <c r="T994"/>
  <c r="T990"/>
  <c r="T998"/>
  <c r="T995"/>
  <c r="T993"/>
  <c r="T981"/>
  <c r="AA660" i="52"/>
  <c r="AG660" s="1"/>
  <c r="AA658"/>
  <c r="AA677"/>
  <c r="AA652"/>
  <c r="AA664"/>
  <c r="AV266" i="50"/>
  <c r="T1802"/>
  <c r="T1791"/>
  <c r="AC1795" s="1"/>
  <c r="K1790"/>
  <c r="T1807"/>
  <c r="T1806"/>
  <c r="T1808"/>
  <c r="T1805"/>
  <c r="T1804"/>
  <c r="T315"/>
  <c r="T318"/>
  <c r="T321"/>
  <c r="T317"/>
  <c r="T323"/>
  <c r="R162" i="58"/>
  <c r="R163" s="1"/>
  <c r="H457" i="52"/>
  <c r="H487"/>
  <c r="H456"/>
  <c r="Y1746" i="50"/>
  <c r="AR1746" s="1"/>
  <c r="BH1736" s="1"/>
  <c r="C411" i="52"/>
  <c r="C459" s="1"/>
  <c r="C507" s="1"/>
  <c r="C555" s="1"/>
  <c r="C603" s="1"/>
  <c r="C651" s="1"/>
  <c r="C364"/>
  <c r="B377"/>
  <c r="B424"/>
  <c r="B472" s="1"/>
  <c r="B520" s="1"/>
  <c r="B568" s="1"/>
  <c r="B616" s="1"/>
  <c r="B664" s="1"/>
  <c r="L349" i="46"/>
  <c r="L279"/>
  <c r="L34"/>
  <c r="L69"/>
  <c r="L174"/>
  <c r="L104"/>
  <c r="L139"/>
  <c r="L209"/>
  <c r="E59" i="50"/>
  <c r="E55" i="58"/>
  <c r="T522" i="50"/>
  <c r="T538"/>
  <c r="T535"/>
  <c r="K521"/>
  <c r="T534"/>
  <c r="T927"/>
  <c r="T942"/>
  <c r="T944"/>
  <c r="T936"/>
  <c r="T941"/>
  <c r="K926"/>
  <c r="T940"/>
  <c r="T943"/>
  <c r="T1197"/>
  <c r="Y1208" s="1"/>
  <c r="AY1208" s="1"/>
  <c r="T1214"/>
  <c r="K1196"/>
  <c r="AK1206" s="1"/>
  <c r="T1211"/>
  <c r="T1210"/>
  <c r="T1212"/>
  <c r="T1208"/>
  <c r="T1348"/>
  <c r="T1346"/>
  <c r="T1341"/>
  <c r="K1331"/>
  <c r="Q1331" s="1"/>
  <c r="T1345"/>
  <c r="T1349"/>
  <c r="T1343"/>
  <c r="AQ76"/>
  <c r="K76" s="1"/>
  <c r="AA668" i="52"/>
  <c r="L314" i="46"/>
  <c r="AA655" i="52"/>
  <c r="L244" i="46"/>
  <c r="AC512" i="52"/>
  <c r="P116" i="57"/>
  <c r="P114"/>
  <c r="P91"/>
  <c r="E81"/>
  <c r="E88"/>
  <c r="P86"/>
  <c r="B43" i="52"/>
  <c r="P88" i="57"/>
  <c r="P123"/>
  <c r="E104"/>
  <c r="E93"/>
  <c r="E128"/>
  <c r="E97"/>
  <c r="P93"/>
  <c r="E95"/>
  <c r="P111"/>
  <c r="E109"/>
  <c r="E86"/>
  <c r="E119"/>
  <c r="E103"/>
  <c r="E113"/>
  <c r="E127"/>
  <c r="P113"/>
  <c r="P110"/>
  <c r="E125"/>
  <c r="E129"/>
  <c r="E115"/>
  <c r="E116"/>
  <c r="E120"/>
  <c r="P103"/>
  <c r="P104"/>
  <c r="E98"/>
  <c r="E80"/>
  <c r="P117"/>
  <c r="P122"/>
  <c r="E82"/>
  <c r="E78"/>
  <c r="P128"/>
  <c r="E126"/>
  <c r="P84"/>
  <c r="P80"/>
  <c r="E91"/>
  <c r="E114"/>
  <c r="P94"/>
  <c r="E118"/>
  <c r="P101"/>
  <c r="P85"/>
  <c r="E110"/>
  <c r="P107"/>
  <c r="P126"/>
  <c r="P100"/>
  <c r="P119"/>
  <c r="P99"/>
  <c r="E100"/>
  <c r="E105"/>
  <c r="E117"/>
  <c r="P95"/>
  <c r="E87"/>
  <c r="P87"/>
  <c r="E123"/>
  <c r="P127"/>
  <c r="P83"/>
  <c r="P79"/>
  <c r="E89"/>
  <c r="P129"/>
  <c r="E107"/>
  <c r="P81"/>
  <c r="E108"/>
  <c r="E124"/>
  <c r="P102"/>
  <c r="P96"/>
  <c r="P121"/>
  <c r="E101"/>
  <c r="P97"/>
  <c r="E83"/>
  <c r="E79"/>
  <c r="P89"/>
  <c r="E85"/>
  <c r="E99"/>
  <c r="P108"/>
  <c r="P106"/>
  <c r="E122"/>
  <c r="P82"/>
  <c r="P109"/>
  <c r="E96"/>
  <c r="P125"/>
  <c r="P120"/>
  <c r="P77"/>
  <c r="T1803" i="50"/>
  <c r="T1800"/>
  <c r="Y1889"/>
  <c r="AY1889" s="1"/>
  <c r="T939"/>
  <c r="AQ914"/>
  <c r="K914" s="1"/>
  <c r="T697"/>
  <c r="T701"/>
  <c r="T698"/>
  <c r="AM534" i="52"/>
  <c r="AM510"/>
  <c r="AM504"/>
  <c r="P194" i="57"/>
  <c r="E188"/>
  <c r="AM535" i="52"/>
  <c r="P170" i="57"/>
  <c r="E147"/>
  <c r="AM512" i="52"/>
  <c r="V127" i="46"/>
  <c r="Q127"/>
  <c r="Q128"/>
  <c r="AQ752" i="50"/>
  <c r="K752" s="1"/>
  <c r="H482" i="52"/>
  <c r="H451"/>
  <c r="H450"/>
  <c r="H465"/>
  <c r="O376"/>
  <c r="E284" s="1"/>
  <c r="P191" i="57"/>
  <c r="W229" i="58"/>
  <c r="AA229" s="1"/>
  <c r="T425" i="50"/>
  <c r="T423"/>
  <c r="T429"/>
  <c r="K1763"/>
  <c r="T1779"/>
  <c r="T1777"/>
  <c r="C428" i="52"/>
  <c r="O380"/>
  <c r="C381"/>
  <c r="AV562" i="50"/>
  <c r="N370" i="52"/>
  <c r="H453"/>
  <c r="AB652"/>
  <c r="Q233" i="46"/>
  <c r="Q232"/>
  <c r="AQ454" i="50"/>
  <c r="K454" s="1"/>
  <c r="T565"/>
  <c r="AM500" i="52"/>
  <c r="R320" i="58"/>
  <c r="M339"/>
  <c r="W327"/>
  <c r="I327" s="1"/>
  <c r="T639" i="50"/>
  <c r="T645"/>
  <c r="BC1557"/>
  <c r="BC855"/>
  <c r="BC504"/>
  <c r="BC585"/>
  <c r="BC153"/>
  <c r="BC747"/>
  <c r="BC369"/>
  <c r="AG428" i="52"/>
  <c r="E189" i="57"/>
  <c r="E170"/>
  <c r="E192"/>
  <c r="E194"/>
  <c r="P184"/>
  <c r="P182"/>
  <c r="P164"/>
  <c r="T562" i="50"/>
  <c r="K683"/>
  <c r="AK693" s="1"/>
  <c r="AM528" i="52"/>
  <c r="AQ184" i="50"/>
  <c r="K184" s="1"/>
  <c r="T2022"/>
  <c r="T2023"/>
  <c r="K2006"/>
  <c r="AK2016" s="1"/>
  <c r="T2024"/>
  <c r="T2018"/>
  <c r="T2020"/>
  <c r="T2021"/>
  <c r="R27" i="60"/>
  <c r="BD1503" i="50"/>
  <c r="BD1233"/>
  <c r="BD585"/>
  <c r="BD1989"/>
  <c r="BD1098"/>
  <c r="BD531"/>
  <c r="BD1935"/>
  <c r="BD1017"/>
  <c r="BD477"/>
  <c r="BD1881"/>
  <c r="BD936"/>
  <c r="BD423"/>
  <c r="F365" i="52"/>
  <c r="F413" s="1"/>
  <c r="F461" s="1"/>
  <c r="F509" s="1"/>
  <c r="F557" s="1"/>
  <c r="F605" s="1"/>
  <c r="F653" s="1"/>
  <c r="BD1692" i="50"/>
  <c r="BD855"/>
  <c r="BD369"/>
  <c r="BD1638"/>
  <c r="BD2016"/>
  <c r="BD666"/>
  <c r="F364" i="52"/>
  <c r="F412" s="1"/>
  <c r="F460" s="1"/>
  <c r="F508" s="1"/>
  <c r="F556" s="1"/>
  <c r="F604" s="1"/>
  <c r="F652" s="1"/>
  <c r="BD1854" i="50"/>
  <c r="BD1962"/>
  <c r="BD639"/>
  <c r="BD1827"/>
  <c r="BD1341"/>
  <c r="BD558"/>
  <c r="BD2043"/>
  <c r="BD1368"/>
  <c r="BD207"/>
  <c r="BD1314"/>
  <c r="BD828"/>
  <c r="BD234"/>
  <c r="BD1800"/>
  <c r="BD1422"/>
  <c r="BD693"/>
  <c r="H442" i="52"/>
  <c r="N442"/>
  <c r="H433"/>
  <c r="H402"/>
  <c r="I555"/>
  <c r="I576"/>
  <c r="E169" i="57"/>
  <c r="K481" i="50"/>
  <c r="T560"/>
  <c r="T198"/>
  <c r="Y210" s="1"/>
  <c r="AY210" s="1"/>
  <c r="K1021"/>
  <c r="AV1021"/>
  <c r="T699"/>
  <c r="T511"/>
  <c r="T504"/>
  <c r="T512"/>
  <c r="K899"/>
  <c r="T900"/>
  <c r="Y916" s="1"/>
  <c r="T913"/>
  <c r="F384" i="52"/>
  <c r="F432" s="1"/>
  <c r="F480" s="1"/>
  <c r="F528" s="1"/>
  <c r="F576" s="1"/>
  <c r="F624" s="1"/>
  <c r="F672" s="1"/>
  <c r="BE1449" i="50"/>
  <c r="BE1422"/>
  <c r="BE477"/>
  <c r="F387" i="52"/>
  <c r="F435"/>
  <c r="F483" s="1"/>
  <c r="F531" s="1"/>
  <c r="F579" s="1"/>
  <c r="F627" s="1"/>
  <c r="F675" s="1"/>
  <c r="BE2043" i="50"/>
  <c r="BE1395"/>
  <c r="BE450"/>
  <c r="F390" i="52"/>
  <c r="F438" s="1"/>
  <c r="F486" s="1"/>
  <c r="F534" s="1"/>
  <c r="F582" s="1"/>
  <c r="F630" s="1"/>
  <c r="F678" s="1"/>
  <c r="BE2016" i="50"/>
  <c r="BE1233"/>
  <c r="BE423"/>
  <c r="BE1773"/>
  <c r="BE1017"/>
  <c r="BE315"/>
  <c r="BE1746"/>
  <c r="BE990"/>
  <c r="BE234"/>
  <c r="BE1611"/>
  <c r="BE936"/>
  <c r="BE126"/>
  <c r="BE1989"/>
  <c r="BE855"/>
  <c r="BE666"/>
  <c r="F28" i="60"/>
  <c r="BE1935" i="50"/>
  <c r="BE1665"/>
  <c r="BE639"/>
  <c r="BE1368"/>
  <c r="BE963"/>
  <c r="BE965" s="1"/>
  <c r="BE261"/>
  <c r="BE72"/>
  <c r="BE1719"/>
  <c r="BE828"/>
  <c r="BE720"/>
  <c r="BE1530"/>
  <c r="BE1152"/>
  <c r="BE585"/>
  <c r="BE589" s="1"/>
  <c r="F34" i="60"/>
  <c r="U92" i="46"/>
  <c r="T754" i="50"/>
  <c r="M128" i="58"/>
  <c r="K548" i="50"/>
  <c r="P167" i="57"/>
  <c r="H594" i="52"/>
  <c r="T212" i="50"/>
  <c r="T693"/>
  <c r="K806"/>
  <c r="AM452"/>
  <c r="AM75"/>
  <c r="AM1619"/>
  <c r="AM1536"/>
  <c r="AM1211"/>
  <c r="AM1532"/>
  <c r="AM670"/>
  <c r="AM99"/>
  <c r="AM1670"/>
  <c r="AM917"/>
  <c r="AM722"/>
  <c r="AM237"/>
  <c r="AM1911"/>
  <c r="AM2020"/>
  <c r="AM1584"/>
  <c r="AM427"/>
  <c r="AM479"/>
  <c r="AM1484"/>
  <c r="AM1213"/>
  <c r="AM1103"/>
  <c r="AM506"/>
  <c r="AM319"/>
  <c r="AM1212"/>
  <c r="AM966"/>
  <c r="AM2072"/>
  <c r="AM749"/>
  <c r="M76" i="57"/>
  <c r="AM1564" i="50"/>
  <c r="AM1483"/>
  <c r="AM1156"/>
  <c r="AM1427"/>
  <c r="AM564"/>
  <c r="R76" i="57"/>
  <c r="AM1618" i="50"/>
  <c r="AM882"/>
  <c r="AM644"/>
  <c r="AM131"/>
  <c r="AM1833"/>
  <c r="AM1830"/>
  <c r="AM1403"/>
  <c r="AM344"/>
  <c r="AM322"/>
  <c r="AM1424"/>
  <c r="AM1132"/>
  <c r="AM996"/>
  <c r="AM376"/>
  <c r="AM268"/>
  <c r="AM1889"/>
  <c r="AM1476"/>
  <c r="AM1803"/>
  <c r="AM1696"/>
  <c r="S76" i="57"/>
  <c r="AM1505" i="50"/>
  <c r="AM1429"/>
  <c r="AM1100"/>
  <c r="AM1349"/>
  <c r="AM510"/>
  <c r="AM2045"/>
  <c r="AM1535"/>
  <c r="AM828"/>
  <c r="AM589"/>
  <c r="AM805"/>
  <c r="AM1748"/>
  <c r="AM1509"/>
  <c r="AM1345"/>
  <c r="AM803"/>
  <c r="AM240"/>
  <c r="AM2070"/>
  <c r="AM1130"/>
  <c r="AM1098"/>
  <c r="AM76"/>
  <c r="AM2049"/>
  <c r="AM1727"/>
  <c r="AM965"/>
  <c r="AM1181"/>
  <c r="AM293"/>
  <c r="AM1858"/>
  <c r="AM1861"/>
  <c r="AM1426"/>
  <c r="AM348"/>
  <c r="AM323"/>
  <c r="AM1508"/>
  <c r="AM1236"/>
  <c r="AM1129"/>
  <c r="AM535"/>
  <c r="AM371"/>
  <c r="AM1834"/>
  <c r="AM835"/>
  <c r="AM1454"/>
  <c r="AM830"/>
  <c r="AM133"/>
  <c r="AM483"/>
  <c r="AM1152"/>
  <c r="AM916"/>
  <c r="AM884"/>
  <c r="AM1910"/>
  <c r="AM700"/>
  <c r="D76" i="57"/>
  <c r="AM1995" i="50"/>
  <c r="AM1503"/>
  <c r="AM909"/>
  <c r="AM1104"/>
  <c r="AM234"/>
  <c r="AM1752"/>
  <c r="AM1592"/>
  <c r="AM1348"/>
  <c r="AM804"/>
  <c r="AM266"/>
  <c r="AM1425"/>
  <c r="AM1154"/>
  <c r="AM1017"/>
  <c r="AM396"/>
  <c r="AM288"/>
  <c r="AM1725"/>
  <c r="AM1557"/>
  <c r="AM1320"/>
  <c r="AM754"/>
  <c r="AM482"/>
  <c r="AM672"/>
  <c r="AM1694"/>
  <c r="AM1368"/>
  <c r="AM782"/>
  <c r="AM347"/>
  <c r="U76" i="57"/>
  <c r="AM1943" i="50"/>
  <c r="AM1375"/>
  <c r="AM860"/>
  <c r="AM1074"/>
  <c r="AM188"/>
  <c r="AM1692"/>
  <c r="AM1401"/>
  <c r="AM1291"/>
  <c r="AM728"/>
  <c r="AM159"/>
  <c r="AM2073"/>
  <c r="AM1101"/>
  <c r="AM915"/>
  <c r="AM315"/>
  <c r="AM153"/>
  <c r="AM1665"/>
  <c r="AM1479"/>
  <c r="AM1266"/>
  <c r="AM720"/>
  <c r="AM104"/>
  <c r="AM290"/>
  <c r="AM1264"/>
  <c r="AM1075"/>
  <c r="AM207"/>
  <c r="AM2019"/>
  <c r="AM77"/>
  <c r="AM1859"/>
  <c r="AM1341"/>
  <c r="AM832"/>
  <c r="AM1044"/>
  <c r="AM126"/>
  <c r="AM1613"/>
  <c r="AM1318"/>
  <c r="AM1187"/>
  <c r="AM646"/>
  <c r="AM561"/>
  <c r="AM2023"/>
  <c r="AM997"/>
  <c r="AM1777"/>
  <c r="AM264"/>
  <c r="AM695"/>
  <c r="AM1559"/>
  <c r="AM1376"/>
  <c r="AM1185"/>
  <c r="AM639"/>
  <c r="AM180"/>
  <c r="AM747"/>
  <c r="AM990"/>
  <c r="AM836"/>
  <c r="AM1402"/>
  <c r="AM236"/>
  <c r="AM1989"/>
  <c r="AM941"/>
  <c r="AM1268"/>
  <c r="AM642"/>
  <c r="AM534"/>
  <c r="AM1800"/>
  <c r="AM1832"/>
  <c r="AM1373"/>
  <c r="AM779"/>
  <c r="AM156"/>
  <c r="AM1969"/>
  <c r="AM1262"/>
  <c r="AM1073"/>
  <c r="AM531"/>
  <c r="AM107"/>
  <c r="AM1645"/>
  <c r="AM888"/>
  <c r="AM671"/>
  <c r="AM184"/>
  <c r="AM1941"/>
  <c r="AM809"/>
  <c r="AM161"/>
  <c r="AM831"/>
  <c r="AM1807"/>
  <c r="T563"/>
  <c r="Q154" i="58"/>
  <c r="Q346"/>
  <c r="Q58"/>
  <c r="Q282"/>
  <c r="Q250"/>
  <c r="Q90"/>
  <c r="F394" i="52"/>
  <c r="F442" s="1"/>
  <c r="F490" s="1"/>
  <c r="F538" s="1"/>
  <c r="F586" s="1"/>
  <c r="F634" s="1"/>
  <c r="F682" s="1"/>
  <c r="W136" i="58"/>
  <c r="AA136" s="1"/>
  <c r="T561" i="50"/>
  <c r="E149" i="57"/>
  <c r="H595" i="52"/>
  <c r="C436"/>
  <c r="O436" s="1"/>
  <c r="Q436" s="1"/>
  <c r="T695" i="50"/>
  <c r="AV1049"/>
  <c r="U127" i="46"/>
  <c r="T558" i="50"/>
  <c r="T566"/>
  <c r="E165" i="57"/>
  <c r="T700" i="50"/>
  <c r="AC1093"/>
  <c r="AC1098" s="1"/>
  <c r="Y1102"/>
  <c r="AY1102" s="1"/>
  <c r="Y1104"/>
  <c r="AY1104" s="1"/>
  <c r="W165" i="58"/>
  <c r="W166"/>
  <c r="AK166" s="1"/>
  <c r="M166" s="1"/>
  <c r="AQ1210" i="50"/>
  <c r="K1210"/>
  <c r="AQ1346"/>
  <c r="K1346"/>
  <c r="R327" i="58"/>
  <c r="Y1101" i="50"/>
  <c r="AY1101" s="1"/>
  <c r="AV1913"/>
  <c r="T752"/>
  <c r="Q186" i="58"/>
  <c r="AQ1750" i="50"/>
  <c r="K1750"/>
  <c r="U162" i="46"/>
  <c r="AQ1616" i="50"/>
  <c r="K1616" s="1"/>
  <c r="P185" i="57"/>
  <c r="P149"/>
  <c r="T738" i="50"/>
  <c r="Y749" s="1"/>
  <c r="U22" i="46"/>
  <c r="F29" i="60"/>
  <c r="AA131" i="58"/>
  <c r="P181" i="57"/>
  <c r="U302" i="46"/>
  <c r="T214" i="50"/>
  <c r="T213"/>
  <c r="T215"/>
  <c r="T209"/>
  <c r="K157"/>
  <c r="AV157"/>
  <c r="P148" i="57"/>
  <c r="P186"/>
  <c r="AV886" i="50"/>
  <c r="W322" i="58"/>
  <c r="T747" i="50"/>
  <c r="N379" i="52"/>
  <c r="N393"/>
  <c r="N431"/>
  <c r="U267" i="46"/>
  <c r="O384" i="52"/>
  <c r="G213" i="38"/>
  <c r="N394" i="52"/>
  <c r="N427"/>
  <c r="AG441"/>
  <c r="N381"/>
  <c r="Y1970" i="50"/>
  <c r="Y1967"/>
  <c r="Y1962"/>
  <c r="AR1962" s="1"/>
  <c r="AA1428"/>
  <c r="AH1428" s="1"/>
  <c r="N360" i="52"/>
  <c r="N364"/>
  <c r="N372"/>
  <c r="N691"/>
  <c r="AV1237" i="50"/>
  <c r="N373" i="52"/>
  <c r="N369"/>
  <c r="AG430"/>
  <c r="AV1265" i="50"/>
  <c r="K1265"/>
  <c r="Q1874"/>
  <c r="T454"/>
  <c r="K1967"/>
  <c r="AV1967"/>
  <c r="B368" i="52"/>
  <c r="B416" s="1"/>
  <c r="B464" s="1"/>
  <c r="B512" s="1"/>
  <c r="B560" s="1"/>
  <c r="B608" s="1"/>
  <c r="B656" s="1"/>
  <c r="B415"/>
  <c r="B463"/>
  <c r="B511" s="1"/>
  <c r="B559" s="1"/>
  <c r="B607" s="1"/>
  <c r="B655" s="1"/>
  <c r="AK345" i="46"/>
  <c r="AK346" s="1"/>
  <c r="U337"/>
  <c r="AV2021" i="50"/>
  <c r="K2021"/>
  <c r="T456"/>
  <c r="AK587"/>
  <c r="BD1289"/>
  <c r="AQ1831"/>
  <c r="K1831" s="1"/>
  <c r="AV1130"/>
  <c r="K1129"/>
  <c r="L318" i="46"/>
  <c r="L108"/>
  <c r="L248"/>
  <c r="L38"/>
  <c r="L353"/>
  <c r="L283"/>
  <c r="L178"/>
  <c r="L73"/>
  <c r="L213"/>
  <c r="L143"/>
  <c r="T453" i="50"/>
  <c r="T506"/>
  <c r="AQ751"/>
  <c r="K751" s="1"/>
  <c r="C473" i="52"/>
  <c r="O425"/>
  <c r="Q425"/>
  <c r="B53" i="57"/>
  <c r="AV482" i="50"/>
  <c r="K482"/>
  <c r="AQ319"/>
  <c r="K319" s="1"/>
  <c r="T1557"/>
  <c r="T1563"/>
  <c r="K1547"/>
  <c r="R1557" s="1"/>
  <c r="BX1547" s="1"/>
  <c r="AC1255"/>
  <c r="Y1262"/>
  <c r="Y1260"/>
  <c r="Y1264"/>
  <c r="AY1264" s="1"/>
  <c r="Y1263"/>
  <c r="Y1266"/>
  <c r="AY1266" s="1"/>
  <c r="Y1265"/>
  <c r="Y1267"/>
  <c r="AY1267" s="1"/>
  <c r="AQ1481"/>
  <c r="K1481" s="1"/>
  <c r="AK292" i="58"/>
  <c r="C378" i="52"/>
  <c r="AV940" i="50"/>
  <c r="AV1318"/>
  <c r="K1318"/>
  <c r="O377" i="52"/>
  <c r="Q377"/>
  <c r="AV859" i="50"/>
  <c r="Q369" i="52"/>
  <c r="AQ697" i="50"/>
  <c r="K697"/>
  <c r="K1157"/>
  <c r="AV1157"/>
  <c r="T239"/>
  <c r="K224"/>
  <c r="Q225" s="1"/>
  <c r="T238"/>
  <c r="T225"/>
  <c r="Y236" s="1"/>
  <c r="AY236" s="1"/>
  <c r="T240"/>
  <c r="AQ292"/>
  <c r="K292" s="1"/>
  <c r="AQ428"/>
  <c r="K428" s="1"/>
  <c r="T507"/>
  <c r="T509"/>
  <c r="T495"/>
  <c r="Y512" s="1"/>
  <c r="AY512" s="1"/>
  <c r="T508"/>
  <c r="T510"/>
  <c r="K494"/>
  <c r="BE508" s="1"/>
  <c r="Y834"/>
  <c r="AY834" s="1"/>
  <c r="Y833"/>
  <c r="AY833" s="1"/>
  <c r="Y828"/>
  <c r="M828" s="1"/>
  <c r="Q1361"/>
  <c r="T347"/>
  <c r="T333"/>
  <c r="Y347" s="1"/>
  <c r="AY347" s="1"/>
  <c r="T342"/>
  <c r="K332"/>
  <c r="T346"/>
  <c r="T350"/>
  <c r="T349"/>
  <c r="K440"/>
  <c r="BE453" s="1"/>
  <c r="T441"/>
  <c r="T452"/>
  <c r="T450"/>
  <c r="T457"/>
  <c r="AQ130"/>
  <c r="K130" s="1"/>
  <c r="AQ400"/>
  <c r="K400" s="1"/>
  <c r="K1859"/>
  <c r="AV1859"/>
  <c r="N140" i="57"/>
  <c r="G127"/>
  <c r="N165"/>
  <c r="G111"/>
  <c r="G87"/>
  <c r="N167"/>
  <c r="G95"/>
  <c r="N194"/>
  <c r="N182"/>
  <c r="G96"/>
  <c r="N193"/>
  <c r="G124"/>
  <c r="G100"/>
  <c r="G121"/>
  <c r="N169"/>
  <c r="AQ1400" i="50"/>
  <c r="K1400"/>
  <c r="Q303" i="46"/>
  <c r="AA1020" i="50"/>
  <c r="AH1020" s="1"/>
  <c r="T1830"/>
  <c r="H378" i="52"/>
  <c r="N378" s="1"/>
  <c r="G114" i="57"/>
  <c r="Y295" i="58"/>
  <c r="T1480" i="50"/>
  <c r="T1478"/>
  <c r="T1831"/>
  <c r="Q302" i="46"/>
  <c r="AA861" i="50"/>
  <c r="AH861" s="1"/>
  <c r="K1817"/>
  <c r="N162" i="57"/>
  <c r="AA1209" i="50"/>
  <c r="AH1209" s="1"/>
  <c r="T619"/>
  <c r="Q22" i="46"/>
  <c r="BA95" i="61"/>
  <c r="AC95" s="1"/>
  <c r="Q23" i="46"/>
  <c r="V22"/>
  <c r="T1832" i="50"/>
  <c r="N190" i="57"/>
  <c r="AA1671" i="50"/>
  <c r="AH1671" s="1"/>
  <c r="AK275" i="46"/>
  <c r="AK276" s="1"/>
  <c r="AV239" i="50"/>
  <c r="AA1347"/>
  <c r="AH1347" s="1"/>
  <c r="T684"/>
  <c r="T696"/>
  <c r="AA1343"/>
  <c r="AH1343" s="1"/>
  <c r="AA1937"/>
  <c r="AH1937" s="1"/>
  <c r="T2051"/>
  <c r="K2033"/>
  <c r="G88" i="57"/>
  <c r="AV455" i="50"/>
  <c r="T1155"/>
  <c r="N163" i="57"/>
  <c r="G82"/>
  <c r="E166"/>
  <c r="P141"/>
  <c r="P168"/>
  <c r="E190"/>
  <c r="C43" i="52"/>
  <c r="E181" i="57"/>
  <c r="P188"/>
  <c r="E163"/>
  <c r="E140"/>
  <c r="P150"/>
  <c r="P163"/>
  <c r="E148"/>
  <c r="E145"/>
  <c r="P192"/>
  <c r="P165"/>
  <c r="E167"/>
  <c r="E143"/>
  <c r="E168"/>
  <c r="E191"/>
  <c r="E164"/>
  <c r="U57" i="46"/>
  <c r="V57"/>
  <c r="AK65"/>
  <c r="AK66" s="1"/>
  <c r="AQ185" i="50"/>
  <c r="K185" s="1"/>
  <c r="T533"/>
  <c r="T537"/>
  <c r="T539"/>
  <c r="AQ589"/>
  <c r="K589" s="1"/>
  <c r="T1588"/>
  <c r="T1592"/>
  <c r="T1589"/>
  <c r="T1587"/>
  <c r="T1723"/>
  <c r="T1724"/>
  <c r="N148" i="57"/>
  <c r="AA182" i="50"/>
  <c r="AH182" s="1"/>
  <c r="G90" i="57"/>
  <c r="T674" i="50"/>
  <c r="T671"/>
  <c r="T666"/>
  <c r="T657"/>
  <c r="Y666" s="1"/>
  <c r="T673"/>
  <c r="AA915"/>
  <c r="AH915" s="1"/>
  <c r="AQ1643"/>
  <c r="K1643" s="1"/>
  <c r="K1142"/>
  <c r="AK1154" s="1"/>
  <c r="T1158"/>
  <c r="T1156"/>
  <c r="T1157"/>
  <c r="A257" i="52"/>
  <c r="AV1994" i="50"/>
  <c r="W231" i="58"/>
  <c r="U219"/>
  <c r="T1426" i="50"/>
  <c r="T1425"/>
  <c r="T1429"/>
  <c r="T1413"/>
  <c r="K1412"/>
  <c r="Q1421" s="1"/>
  <c r="T1422"/>
  <c r="AQ104"/>
  <c r="K104"/>
  <c r="Y1098"/>
  <c r="N151" i="57"/>
  <c r="AV158" i="50"/>
  <c r="K158"/>
  <c r="AV293"/>
  <c r="AA1289"/>
  <c r="AH1289" s="1"/>
  <c r="T1400"/>
  <c r="T1399"/>
  <c r="T1386"/>
  <c r="K1385"/>
  <c r="T1403"/>
  <c r="AA1617"/>
  <c r="AH1617" s="1"/>
  <c r="N355" i="52"/>
  <c r="N388"/>
  <c r="I558"/>
  <c r="I552"/>
  <c r="I580"/>
  <c r="I584"/>
  <c r="I577"/>
  <c r="I553"/>
  <c r="I578"/>
  <c r="I582"/>
  <c r="I549"/>
  <c r="AV131" i="50"/>
  <c r="AV535"/>
  <c r="T781"/>
  <c r="T765"/>
  <c r="Y777" s="1"/>
  <c r="T782"/>
  <c r="K764"/>
  <c r="AK774" s="1"/>
  <c r="T777"/>
  <c r="T1829"/>
  <c r="T1835"/>
  <c r="T1833"/>
  <c r="AA506"/>
  <c r="AH506" s="1"/>
  <c r="AA749"/>
  <c r="AH749" s="1"/>
  <c r="AA348"/>
  <c r="AH348" s="1"/>
  <c r="AA1668"/>
  <c r="AH1668" s="1"/>
  <c r="AB576" i="52"/>
  <c r="AB558"/>
  <c r="AB578"/>
  <c r="G117" i="57"/>
  <c r="Y135" i="58"/>
  <c r="AA236" i="50"/>
  <c r="AH236" s="1"/>
  <c r="AV265"/>
  <c r="AQ401"/>
  <c r="K401" s="1"/>
  <c r="AV1291"/>
  <c r="AQ1454"/>
  <c r="K1454" s="1"/>
  <c r="T1670"/>
  <c r="T1669"/>
  <c r="T1673"/>
  <c r="T1671"/>
  <c r="L402" i="52"/>
  <c r="L403"/>
  <c r="L405"/>
  <c r="L413"/>
  <c r="AJ561"/>
  <c r="AJ582"/>
  <c r="AJ579"/>
  <c r="AJ590"/>
  <c r="AJ576"/>
  <c r="AJ553"/>
  <c r="AJ558"/>
  <c r="T1371" i="50"/>
  <c r="T1368"/>
  <c r="AQ1724"/>
  <c r="K1724"/>
  <c r="L49" i="38"/>
  <c r="L6" i="50"/>
  <c r="L147" i="38"/>
  <c r="C371" i="52"/>
  <c r="C419" s="1"/>
  <c r="C467" s="1"/>
  <c r="C370"/>
  <c r="C418" s="1"/>
  <c r="N186" i="57"/>
  <c r="G125"/>
  <c r="T1154" i="50"/>
  <c r="T618"/>
  <c r="AA672"/>
  <c r="AH672" s="1"/>
  <c r="T1237"/>
  <c r="T1241"/>
  <c r="T1238"/>
  <c r="K1223"/>
  <c r="BC1237" s="1"/>
  <c r="AQ2020"/>
  <c r="K2020"/>
  <c r="AC433" i="52"/>
  <c r="AC403"/>
  <c r="AC417"/>
  <c r="AG417"/>
  <c r="AC405"/>
  <c r="AC434"/>
  <c r="H534"/>
  <c r="H528"/>
  <c r="H500"/>
  <c r="H536"/>
  <c r="H515"/>
  <c r="H510"/>
  <c r="H532"/>
  <c r="H512"/>
  <c r="G105" i="57"/>
  <c r="N184"/>
  <c r="T1152" i="50"/>
  <c r="T780"/>
  <c r="T616"/>
  <c r="Y264" i="58"/>
  <c r="W98"/>
  <c r="I98" s="1"/>
  <c r="W99"/>
  <c r="AK99" s="1"/>
  <c r="M99" s="1"/>
  <c r="W359"/>
  <c r="W354"/>
  <c r="T322" i="50"/>
  <c r="T319"/>
  <c r="K305"/>
  <c r="T306"/>
  <c r="T320"/>
  <c r="AA1829"/>
  <c r="AH1829" s="1"/>
  <c r="AQ968"/>
  <c r="K968" s="1"/>
  <c r="T1506"/>
  <c r="T1505"/>
  <c r="T1511"/>
  <c r="AA537"/>
  <c r="AH537" s="1"/>
  <c r="T1507"/>
  <c r="G77" i="57"/>
  <c r="T612" i="50"/>
  <c r="N183" i="57"/>
  <c r="AA1536" i="50"/>
  <c r="AH1536" s="1"/>
  <c r="T889"/>
  <c r="T885"/>
  <c r="T887"/>
  <c r="T1047"/>
  <c r="T1048"/>
  <c r="K1034"/>
  <c r="T1049"/>
  <c r="T1209"/>
  <c r="T1206"/>
  <c r="T1213"/>
  <c r="T1940"/>
  <c r="T1926"/>
  <c r="I188" i="57"/>
  <c r="I166"/>
  <c r="I191"/>
  <c r="I164"/>
  <c r="I169"/>
  <c r="I186"/>
  <c r="I93"/>
  <c r="I165"/>
  <c r="I167"/>
  <c r="F2087" i="50"/>
  <c r="F378" i="58"/>
  <c r="F134" i="37"/>
  <c r="F372" i="46"/>
  <c r="C354" i="52"/>
  <c r="O354" s="1"/>
  <c r="O353"/>
  <c r="Y71" i="58"/>
  <c r="AA614" i="50"/>
  <c r="AH614" s="1"/>
  <c r="AA1563"/>
  <c r="AH1563" s="1"/>
  <c r="O363" i="52"/>
  <c r="AA1316" i="50"/>
  <c r="AH1316" s="1"/>
  <c r="N367" i="52"/>
  <c r="N371"/>
  <c r="N387"/>
  <c r="AA645" i="50"/>
  <c r="AH645" s="1"/>
  <c r="AA1154"/>
  <c r="AH1154" s="1"/>
  <c r="N384" i="52"/>
  <c r="AA1640" i="50"/>
  <c r="AH1640" s="1"/>
  <c r="AG407" i="52"/>
  <c r="AG427"/>
  <c r="AG442"/>
  <c r="AA1641" i="50"/>
  <c r="AH1641" s="1"/>
  <c r="AA1802"/>
  <c r="AH1802" s="1"/>
  <c r="N363" i="52"/>
  <c r="N368"/>
  <c r="O372"/>
  <c r="N376"/>
  <c r="AA1451" i="50"/>
  <c r="AH1451" s="1"/>
  <c r="AG413" i="52"/>
  <c r="P118" i="57"/>
  <c r="AA1779" i="50"/>
  <c r="AH1779" s="1"/>
  <c r="AG429" i="52"/>
  <c r="P98" i="57"/>
  <c r="Y356" i="58"/>
  <c r="AA209" i="50"/>
  <c r="AH209" s="1"/>
  <c r="AA402"/>
  <c r="AH402" s="1"/>
  <c r="N389" i="52"/>
  <c r="AG423"/>
  <c r="N430"/>
  <c r="AA105" i="50"/>
  <c r="AH105" s="1"/>
  <c r="AA641"/>
  <c r="AH641" s="1"/>
  <c r="AA1590"/>
  <c r="AH1590" s="1"/>
  <c r="AA1911"/>
  <c r="AH1911" s="1"/>
  <c r="Q551"/>
  <c r="AK262" i="58"/>
  <c r="M262" s="1"/>
  <c r="H664" i="52"/>
  <c r="H677"/>
  <c r="H667"/>
  <c r="H660"/>
  <c r="H671"/>
  <c r="H668"/>
  <c r="H652"/>
  <c r="H655"/>
  <c r="H685"/>
  <c r="H658"/>
  <c r="AQ1372" i="50"/>
  <c r="AV1372" s="1"/>
  <c r="AD535" i="52"/>
  <c r="AD500"/>
  <c r="AD515"/>
  <c r="AD528"/>
  <c r="AD512"/>
  <c r="AD504"/>
  <c r="AD510"/>
  <c r="AD532"/>
  <c r="AD534"/>
  <c r="AV1697" i="50"/>
  <c r="K1697"/>
  <c r="AE465" i="52"/>
  <c r="AE450"/>
  <c r="AE451"/>
  <c r="AE481"/>
  <c r="AE459"/>
  <c r="AE494"/>
  <c r="AE453"/>
  <c r="AE482"/>
  <c r="H549"/>
  <c r="H590"/>
  <c r="H561"/>
  <c r="H578"/>
  <c r="J434"/>
  <c r="J403"/>
  <c r="J405"/>
  <c r="J433"/>
  <c r="J402"/>
  <c r="J417"/>
  <c r="N417" s="1"/>
  <c r="J411"/>
  <c r="N411"/>
  <c r="AA553"/>
  <c r="AA578"/>
  <c r="AG578" s="1"/>
  <c r="AA583"/>
  <c r="AA582"/>
  <c r="AA580"/>
  <c r="AA552"/>
  <c r="AA563"/>
  <c r="AA579"/>
  <c r="AA548"/>
  <c r="AG545"/>
  <c r="AA555"/>
  <c r="AA577"/>
  <c r="AG577" s="1"/>
  <c r="AA558"/>
  <c r="AA547"/>
  <c r="AA561"/>
  <c r="AA584"/>
  <c r="AA546"/>
  <c r="AA576"/>
  <c r="AA560"/>
  <c r="AA590"/>
  <c r="C677"/>
  <c r="H425"/>
  <c r="H413"/>
  <c r="H426"/>
  <c r="AB421"/>
  <c r="AG421" s="1"/>
  <c r="I421"/>
  <c r="I425"/>
  <c r="I426"/>
  <c r="AV1832" i="50"/>
  <c r="K1832"/>
  <c r="D434" i="52"/>
  <c r="O386"/>
  <c r="AE433"/>
  <c r="AE403"/>
  <c r="AE434"/>
  <c r="AE402"/>
  <c r="AE411"/>
  <c r="AG411" s="1"/>
  <c r="AE405"/>
  <c r="K512"/>
  <c r="K532"/>
  <c r="K534"/>
  <c r="K528"/>
  <c r="K531"/>
  <c r="K500"/>
  <c r="K510"/>
  <c r="K536"/>
  <c r="K515"/>
  <c r="K505"/>
  <c r="K504"/>
  <c r="K535"/>
  <c r="C583"/>
  <c r="O535"/>
  <c r="Q535" s="1"/>
  <c r="AQ1076" i="50"/>
  <c r="AQ1399"/>
  <c r="K1399"/>
  <c r="K1751"/>
  <c r="AV1751"/>
  <c r="AQ1939"/>
  <c r="K1939"/>
  <c r="AM417" i="52"/>
  <c r="AM434"/>
  <c r="AM402"/>
  <c r="AM433"/>
  <c r="AM411"/>
  <c r="AM403"/>
  <c r="L510"/>
  <c r="L515"/>
  <c r="L531"/>
  <c r="L528"/>
  <c r="L505"/>
  <c r="L532"/>
  <c r="L536"/>
  <c r="L534"/>
  <c r="L500"/>
  <c r="L535"/>
  <c r="L512"/>
  <c r="L504"/>
  <c r="E58" i="50"/>
  <c r="E54" i="58"/>
  <c r="B364" i="52"/>
  <c r="B411"/>
  <c r="B459" s="1"/>
  <c r="B507" s="1"/>
  <c r="B555" s="1"/>
  <c r="B603" s="1"/>
  <c r="B651" s="1"/>
  <c r="D419"/>
  <c r="D467" s="1"/>
  <c r="I685"/>
  <c r="I677"/>
  <c r="I655"/>
  <c r="I668"/>
  <c r="I660"/>
  <c r="I652"/>
  <c r="I664"/>
  <c r="I658"/>
  <c r="I194" i="58"/>
  <c r="AK194"/>
  <c r="M194" s="1"/>
  <c r="C415" i="52"/>
  <c r="O367"/>
  <c r="C368"/>
  <c r="L110" i="46"/>
  <c r="L250"/>
  <c r="L215"/>
  <c r="L145"/>
  <c r="L180"/>
  <c r="L75"/>
  <c r="L355"/>
  <c r="L40"/>
  <c r="L285"/>
  <c r="L320"/>
  <c r="AE515" i="52"/>
  <c r="AE510"/>
  <c r="AE535"/>
  <c r="AE528"/>
  <c r="AE500"/>
  <c r="AE534"/>
  <c r="AE512"/>
  <c r="AE536"/>
  <c r="AE504"/>
  <c r="AE531"/>
  <c r="AE532"/>
  <c r="O520"/>
  <c r="Q520" s="1"/>
  <c r="AK1881" i="50"/>
  <c r="Y1886"/>
  <c r="AY1886" s="1"/>
  <c r="Y1884"/>
  <c r="Y1885"/>
  <c r="AV103"/>
  <c r="K103"/>
  <c r="C449" i="52"/>
  <c r="O401"/>
  <c r="Q401"/>
  <c r="T1021" i="50"/>
  <c r="T1008"/>
  <c r="T1025"/>
  <c r="T1019"/>
  <c r="T1020"/>
  <c r="T1017"/>
  <c r="K1007"/>
  <c r="AK1019" s="1"/>
  <c r="T1024"/>
  <c r="T1022"/>
  <c r="T1023"/>
  <c r="N392" i="52"/>
  <c r="AD411"/>
  <c r="AD433"/>
  <c r="AD402"/>
  <c r="AD403"/>
  <c r="AD434"/>
  <c r="AD417"/>
  <c r="N423"/>
  <c r="J531"/>
  <c r="J504"/>
  <c r="J532"/>
  <c r="J510"/>
  <c r="J535"/>
  <c r="J515"/>
  <c r="J534"/>
  <c r="J500"/>
  <c r="J505"/>
  <c r="J512"/>
  <c r="J528"/>
  <c r="J536"/>
  <c r="AV1319" i="50"/>
  <c r="K1319"/>
  <c r="AQ1589"/>
  <c r="K1589" s="1"/>
  <c r="AA528" i="52"/>
  <c r="AA536"/>
  <c r="AA512"/>
  <c r="AA500"/>
  <c r="AA504"/>
  <c r="AA532"/>
  <c r="AA515"/>
  <c r="AA510"/>
  <c r="AA534"/>
  <c r="AA531"/>
  <c r="Y1071" i="50"/>
  <c r="BE1264"/>
  <c r="Q1253"/>
  <c r="T160"/>
  <c r="T159"/>
  <c r="T161"/>
  <c r="K143"/>
  <c r="T157"/>
  <c r="T155"/>
  <c r="T158"/>
  <c r="T156"/>
  <c r="T153"/>
  <c r="AY1106"/>
  <c r="T969"/>
  <c r="T968"/>
  <c r="T971"/>
  <c r="T963"/>
  <c r="K953"/>
  <c r="T967"/>
  <c r="T954"/>
  <c r="T965"/>
  <c r="K832"/>
  <c r="AV832"/>
  <c r="AJ483" i="52"/>
  <c r="AJ457"/>
  <c r="AJ484"/>
  <c r="AJ487"/>
  <c r="L348" i="46"/>
  <c r="AE1881" i="50"/>
  <c r="AE1104"/>
  <c r="AE750"/>
  <c r="AE1644"/>
  <c r="AE1212"/>
  <c r="AE696"/>
  <c r="AE1482"/>
  <c r="AE531"/>
  <c r="AE1395"/>
  <c r="E76" i="57"/>
  <c r="AE831" i="50"/>
  <c r="AE1289"/>
  <c r="AE105"/>
  <c r="T76" i="57"/>
  <c r="AE1833" i="50"/>
  <c r="AE1509"/>
  <c r="AE236"/>
  <c r="AE1962"/>
  <c r="AE1181"/>
  <c r="AE99"/>
  <c r="AE1692"/>
  <c r="AE483"/>
  <c r="AE2049"/>
  <c r="AE1802"/>
  <c r="AE695"/>
  <c r="AE132"/>
  <c r="AE1914"/>
  <c r="AE1317"/>
  <c r="AE585"/>
  <c r="AE1968"/>
  <c r="AE1374"/>
  <c r="AE534"/>
  <c r="AE2018"/>
  <c r="AE591"/>
  <c r="AE1101"/>
  <c r="AE1343"/>
  <c r="AE1694"/>
  <c r="AE240"/>
  <c r="AE1479"/>
  <c r="AE1316"/>
  <c r="AE669"/>
  <c r="AE1452"/>
  <c r="AE1239"/>
  <c r="AE645"/>
  <c r="AE1671"/>
  <c r="AE1827"/>
  <c r="AE453"/>
  <c r="AE1665"/>
  <c r="AE1158"/>
  <c r="AE1989"/>
  <c r="AE1668"/>
  <c r="AE2070"/>
  <c r="AE128"/>
  <c r="AE1638"/>
  <c r="AE1857"/>
  <c r="AE159"/>
  <c r="AE993"/>
  <c r="AE1667"/>
  <c r="AE180"/>
  <c r="AE1401"/>
  <c r="AE2045"/>
  <c r="AE1935"/>
  <c r="AE1287"/>
  <c r="AE344"/>
  <c r="AE1908"/>
  <c r="AE1341"/>
  <c r="AE641"/>
  <c r="AE1290"/>
  <c r="AE1613"/>
  <c r="AE507"/>
  <c r="AE510"/>
  <c r="AE992"/>
  <c r="AE1752"/>
  <c r="AE1209"/>
  <c r="AE156"/>
  <c r="AE1779"/>
  <c r="AE1236"/>
  <c r="AE213"/>
  <c r="AE1128"/>
  <c r="AE1371"/>
  <c r="AE753"/>
  <c r="AE747"/>
  <c r="AE537"/>
  <c r="G76" i="57"/>
  <c r="AE1641" i="50"/>
  <c r="AE1125"/>
  <c r="AE668"/>
  <c r="AE1698"/>
  <c r="AE1154"/>
  <c r="AE102"/>
  <c r="AE963"/>
  <c r="AE1179"/>
  <c r="AE1937"/>
  <c r="AE588"/>
  <c r="AE479"/>
  <c r="N76" i="57"/>
  <c r="AE1208" i="50"/>
  <c r="AE672"/>
  <c r="AE155"/>
  <c r="AE1263"/>
  <c r="AE774"/>
  <c r="AE1854"/>
  <c r="AE318"/>
  <c r="AE1266"/>
  <c r="AE2019"/>
  <c r="AE371"/>
  <c r="AE1532"/>
  <c r="AE72"/>
  <c r="AE888"/>
  <c r="AE807"/>
  <c r="AE290"/>
  <c r="AE965"/>
  <c r="AE396"/>
  <c r="AE2076"/>
  <c r="AE614"/>
  <c r="AE942"/>
  <c r="AE1938"/>
  <c r="AE183"/>
  <c r="AE803"/>
  <c r="P76" i="57"/>
  <c r="AE990" i="50"/>
  <c r="AE78"/>
  <c r="AE936"/>
  <c r="AE1941"/>
  <c r="AE2046"/>
  <c r="AE1775"/>
  <c r="AE801"/>
  <c r="AE1557"/>
  <c r="AE939"/>
  <c r="AE1530"/>
  <c r="AE966"/>
  <c r="AE909"/>
  <c r="AE1131"/>
  <c r="AE1017"/>
  <c r="AE1911"/>
  <c r="AE1611"/>
  <c r="AE477"/>
  <c r="AE2022"/>
  <c r="AE450"/>
  <c r="AE855"/>
  <c r="AE938"/>
  <c r="AE1235"/>
  <c r="AE321"/>
  <c r="AE1422"/>
  <c r="AE129"/>
  <c r="AE1559"/>
  <c r="AE723"/>
  <c r="AE830"/>
  <c r="AE618"/>
  <c r="AE186"/>
  <c r="AE560"/>
  <c r="AE1293"/>
  <c r="AE587"/>
  <c r="AE1368"/>
  <c r="AE558"/>
  <c r="AE693"/>
  <c r="AE263"/>
  <c r="AE533"/>
  <c r="AE1344"/>
  <c r="AE1047"/>
  <c r="AE480"/>
  <c r="AE1127"/>
  <c r="AE452"/>
  <c r="AE780"/>
  <c r="AE749"/>
  <c r="AE153"/>
  <c r="AE1748"/>
  <c r="AE996"/>
  <c r="AE126"/>
  <c r="AE915"/>
  <c r="AE209"/>
  <c r="AE207"/>
  <c r="AE315"/>
  <c r="AE1424"/>
  <c r="C76" i="57"/>
  <c r="AE1563" i="50"/>
  <c r="AE182"/>
  <c r="AE1478"/>
  <c r="AE234"/>
  <c r="AE1991"/>
  <c r="AE1560"/>
  <c r="AE1023"/>
  <c r="AE1992"/>
  <c r="I76" i="57"/>
  <c r="AE369" i="50"/>
  <c r="AE1860"/>
  <c r="AE1050"/>
  <c r="L173" i="46"/>
  <c r="AE75" i="50"/>
  <c r="AE506"/>
  <c r="AE1856"/>
  <c r="AE834"/>
  <c r="AE1719"/>
  <c r="AE1725"/>
  <c r="L76" i="57"/>
  <c r="AE726" i="50"/>
  <c r="AE1074"/>
  <c r="AE1320"/>
  <c r="AE1449"/>
  <c r="AE398"/>
  <c r="L33" i="46"/>
  <c r="AE639" i="50"/>
  <c r="AE1020"/>
  <c r="AE1155"/>
  <c r="AE1614"/>
  <c r="AE342"/>
  <c r="AE1830"/>
  <c r="AE267"/>
  <c r="AE1590"/>
  <c r="AE699"/>
  <c r="AE1100"/>
  <c r="AE1185"/>
  <c r="AE1695"/>
  <c r="AE425"/>
  <c r="AE1451"/>
  <c r="AE429"/>
  <c r="AE857"/>
  <c r="AE399"/>
  <c r="AE1617"/>
  <c r="AE345"/>
  <c r="AE1071"/>
  <c r="AE288"/>
  <c r="AE1370"/>
  <c r="AE2072"/>
  <c r="AE291"/>
  <c r="AE564"/>
  <c r="AE261"/>
  <c r="AE1073"/>
  <c r="L68" i="46"/>
  <c r="AV995" i="50"/>
  <c r="K995"/>
  <c r="K403" i="52"/>
  <c r="K433"/>
  <c r="K411"/>
  <c r="K434"/>
  <c r="AB584"/>
  <c r="AB563"/>
  <c r="AB547"/>
  <c r="AB560"/>
  <c r="AB580"/>
  <c r="AB552"/>
  <c r="AB582"/>
  <c r="AB555"/>
  <c r="AB579"/>
  <c r="AB548"/>
  <c r="AB583"/>
  <c r="AB590"/>
  <c r="AB561"/>
  <c r="AB553"/>
  <c r="Y835" i="50"/>
  <c r="AC823"/>
  <c r="Y832"/>
  <c r="T468"/>
  <c r="Y483" s="1"/>
  <c r="T485"/>
  <c r="T484"/>
  <c r="T480"/>
  <c r="T477"/>
  <c r="T483"/>
  <c r="T481"/>
  <c r="T479"/>
  <c r="K913"/>
  <c r="AV913"/>
  <c r="N361" i="52"/>
  <c r="AV1940" i="50"/>
  <c r="K1940"/>
  <c r="T1319"/>
  <c r="T1318"/>
  <c r="T1316"/>
  <c r="Y1048"/>
  <c r="AQ1183"/>
  <c r="AV1183" s="1"/>
  <c r="AQ1345"/>
  <c r="K1345" s="1"/>
  <c r="AQ1696"/>
  <c r="K1696" s="1"/>
  <c r="T266"/>
  <c r="T252"/>
  <c r="T267"/>
  <c r="T269"/>
  <c r="T261"/>
  <c r="T264"/>
  <c r="AQ1022"/>
  <c r="AQ2074"/>
  <c r="K2074" s="1"/>
  <c r="BC2016"/>
  <c r="BC1098"/>
  <c r="BC180"/>
  <c r="BC828"/>
  <c r="BC1341"/>
  <c r="BC1314"/>
  <c r="F353" i="52"/>
  <c r="BC936" i="50"/>
  <c r="BC1449"/>
  <c r="F363" i="52"/>
  <c r="F411" s="1"/>
  <c r="F459" s="1"/>
  <c r="F507" s="1"/>
  <c r="F555" s="1"/>
  <c r="F603" s="1"/>
  <c r="F651" s="1"/>
  <c r="BC1503" i="50"/>
  <c r="BC1368"/>
  <c r="BC1800"/>
  <c r="BC882"/>
  <c r="BC1935"/>
  <c r="BC1125"/>
  <c r="BC1692"/>
  <c r="BC1696" s="1"/>
  <c r="BC1017"/>
  <c r="BC1881"/>
  <c r="BC774"/>
  <c r="BC558"/>
  <c r="BC288"/>
  <c r="BC1179"/>
  <c r="BC477"/>
  <c r="BC396"/>
  <c r="BC450"/>
  <c r="BC207"/>
  <c r="BC315"/>
  <c r="BC1962"/>
  <c r="BC1206"/>
  <c r="BC99"/>
  <c r="BC1233"/>
  <c r="BC234"/>
  <c r="BC1908"/>
  <c r="BC963"/>
  <c r="BC1287"/>
  <c r="BC1291"/>
  <c r="BC72"/>
  <c r="BC693"/>
  <c r="BC1746"/>
  <c r="BC1611"/>
  <c r="BC1422"/>
  <c r="BC2070"/>
  <c r="BC1719"/>
  <c r="BC1665"/>
  <c r="BC1152"/>
  <c r="BC1395"/>
  <c r="BC1044"/>
  <c r="BC342"/>
  <c r="BC126"/>
  <c r="BC2043"/>
  <c r="D108" i="61"/>
  <c r="Q23" i="28"/>
  <c r="AB677" i="52"/>
  <c r="AB668"/>
  <c r="AG668" s="1"/>
  <c r="AB658"/>
  <c r="AB655"/>
  <c r="AB664"/>
  <c r="AV2047" i="50"/>
  <c r="K2047"/>
  <c r="W100" i="58"/>
  <c r="W96"/>
  <c r="R100"/>
  <c r="R96"/>
  <c r="R101" s="1"/>
  <c r="R102" s="1"/>
  <c r="R104"/>
  <c r="W160"/>
  <c r="M179"/>
  <c r="R164"/>
  <c r="R168"/>
  <c r="W167"/>
  <c r="K1669" i="50"/>
  <c r="AV1669"/>
  <c r="D432" i="52"/>
  <c r="D480" s="1"/>
  <c r="D528" s="1"/>
  <c r="D576" s="1"/>
  <c r="D624" s="1"/>
  <c r="D672" s="1"/>
  <c r="T372" i="50"/>
  <c r="T377"/>
  <c r="T375"/>
  <c r="T373"/>
  <c r="T369"/>
  <c r="K359"/>
  <c r="T376"/>
  <c r="T374"/>
  <c r="AQ967"/>
  <c r="AV967" s="1"/>
  <c r="AQ590"/>
  <c r="K1102"/>
  <c r="AV1102"/>
  <c r="AQ1264"/>
  <c r="K1264" s="1"/>
  <c r="T1726"/>
  <c r="T1722"/>
  <c r="T1721"/>
  <c r="T1710"/>
  <c r="K1709"/>
  <c r="BD1721" s="1"/>
  <c r="T1719"/>
  <c r="T1725"/>
  <c r="T1727"/>
  <c r="AQ1103"/>
  <c r="AV1507"/>
  <c r="K1507"/>
  <c r="M115" i="58"/>
  <c r="W258"/>
  <c r="W260"/>
  <c r="K1211" i="50"/>
  <c r="AV1211"/>
  <c r="T1503"/>
  <c r="T1509"/>
  <c r="K1493"/>
  <c r="R1502" s="1"/>
  <c r="BW1493" s="1"/>
  <c r="G86" i="57"/>
  <c r="N142"/>
  <c r="N188"/>
  <c r="N189"/>
  <c r="G108"/>
  <c r="G123"/>
  <c r="G102"/>
  <c r="N166"/>
  <c r="G104"/>
  <c r="N181"/>
  <c r="G118"/>
  <c r="G110"/>
  <c r="G94"/>
  <c r="G98"/>
  <c r="G81"/>
  <c r="N187"/>
  <c r="N147"/>
  <c r="N149"/>
  <c r="G83"/>
  <c r="G128"/>
  <c r="G80"/>
  <c r="N150"/>
  <c r="N144"/>
  <c r="G107"/>
  <c r="G112"/>
  <c r="G89"/>
  <c r="G91"/>
  <c r="N185"/>
  <c r="G97"/>
  <c r="G116"/>
  <c r="AQ778" i="50"/>
  <c r="K778"/>
  <c r="AV994"/>
  <c r="K994"/>
  <c r="T1105"/>
  <c r="K1088"/>
  <c r="T1101"/>
  <c r="AQ1184"/>
  <c r="N354" i="52"/>
  <c r="Y1105" i="50"/>
  <c r="Y1103"/>
  <c r="Y1100"/>
  <c r="AA2022"/>
  <c r="AH2022" s="1"/>
  <c r="AA669"/>
  <c r="AH669" s="1"/>
  <c r="AA1506"/>
  <c r="AH1506" s="1"/>
  <c r="AA1803"/>
  <c r="AA1613"/>
  <c r="AH1613" s="1"/>
  <c r="AA750"/>
  <c r="AA510"/>
  <c r="AH510" s="1"/>
  <c r="Y328" i="58"/>
  <c r="AA722" i="50"/>
  <c r="AH722" s="1"/>
  <c r="AA1505"/>
  <c r="AH1505" s="1"/>
  <c r="AA155"/>
  <c r="AH155" s="1"/>
  <c r="Y167" i="58"/>
  <c r="AA2046" i="50"/>
  <c r="AH2046" s="1"/>
  <c r="AA456"/>
  <c r="AH456" s="1"/>
  <c r="AA1074"/>
  <c r="AH1074" s="1"/>
  <c r="AA186"/>
  <c r="AH186" s="1"/>
  <c r="AA156"/>
  <c r="AH156" s="1"/>
  <c r="AA263"/>
  <c r="AH263" s="1"/>
  <c r="AA1721"/>
  <c r="AH1721" s="1"/>
  <c r="AA483"/>
  <c r="AH483" s="1"/>
  <c r="AA942"/>
  <c r="AH942" s="1"/>
  <c r="AA1725"/>
  <c r="AH1725" s="1"/>
  <c r="AA2076"/>
  <c r="AH2076" s="1"/>
  <c r="AA1263"/>
  <c r="AH1263" s="1"/>
  <c r="AA264"/>
  <c r="AH264" s="1"/>
  <c r="AA1236"/>
  <c r="AH1236" s="1"/>
  <c r="Y103" i="58"/>
  <c r="AA1077" i="50"/>
  <c r="AH1077" s="1"/>
  <c r="AA1968"/>
  <c r="AH1968" s="1"/>
  <c r="AA294"/>
  <c r="AH294" s="1"/>
  <c r="AA996"/>
  <c r="AA618"/>
  <c r="AN452" i="52"/>
  <c r="AN486"/>
  <c r="P151" i="57"/>
  <c r="P162"/>
  <c r="E183"/>
  <c r="E151"/>
  <c r="E185"/>
  <c r="P190"/>
  <c r="P143"/>
  <c r="E146"/>
  <c r="P146"/>
  <c r="P187"/>
  <c r="E182"/>
  <c r="P144"/>
  <c r="P145"/>
  <c r="E184"/>
  <c r="P147"/>
  <c r="P142"/>
  <c r="E150"/>
  <c r="P140"/>
  <c r="E144"/>
  <c r="A263" i="52"/>
  <c r="K1480" i="50"/>
  <c r="AV1480"/>
  <c r="T171"/>
  <c r="Y184" s="1"/>
  <c r="T184"/>
  <c r="T180"/>
  <c r="K170"/>
  <c r="K1858"/>
  <c r="AV1858"/>
  <c r="K791"/>
  <c r="Q794" s="1"/>
  <c r="T807"/>
  <c r="T808"/>
  <c r="AV941"/>
  <c r="AQ346"/>
  <c r="K346"/>
  <c r="K698"/>
  <c r="AV698"/>
  <c r="C275" i="52"/>
  <c r="N24" i="38"/>
  <c r="D437" i="52"/>
  <c r="O389"/>
  <c r="C480"/>
  <c r="T210" i="50"/>
  <c r="T211"/>
  <c r="K197"/>
  <c r="T1116"/>
  <c r="Y1132" s="1"/>
  <c r="AY1132" s="1"/>
  <c r="T1132"/>
  <c r="T1131"/>
  <c r="T1133"/>
  <c r="T1127"/>
  <c r="AQ1912"/>
  <c r="K1912" s="1"/>
  <c r="T430"/>
  <c r="K413"/>
  <c r="T426"/>
  <c r="T431"/>
  <c r="T1376"/>
  <c r="T1374"/>
  <c r="O360" i="52"/>
  <c r="C361"/>
  <c r="AQ616" i="50"/>
  <c r="K616" s="1"/>
  <c r="T1564"/>
  <c r="AQ1615"/>
  <c r="AV1615" s="1"/>
  <c r="L6" i="46"/>
  <c r="AL326" s="1"/>
  <c r="AL327" s="1"/>
  <c r="AL328" s="1"/>
  <c r="AL329" s="1"/>
  <c r="S329" s="1"/>
  <c r="L6" i="58"/>
  <c r="AQ833" i="50"/>
  <c r="AA1398"/>
  <c r="Y168" i="58"/>
  <c r="Y228"/>
  <c r="AQ617" i="50"/>
  <c r="AV617"/>
  <c r="AA1964"/>
  <c r="AH1964" s="1"/>
  <c r="T531"/>
  <c r="T536"/>
  <c r="AA591"/>
  <c r="AH591" s="1"/>
  <c r="AA938"/>
  <c r="AH938" s="1"/>
  <c r="T1467"/>
  <c r="T1481"/>
  <c r="K1466"/>
  <c r="T1476"/>
  <c r="AQ1723"/>
  <c r="K1723" s="1"/>
  <c r="AA1910"/>
  <c r="AH1910" s="1"/>
  <c r="AA1317"/>
  <c r="AH1317" s="1"/>
  <c r="AA1941"/>
  <c r="AH1941" s="1"/>
  <c r="AA885"/>
  <c r="AH885" s="1"/>
  <c r="K1601"/>
  <c r="T1614"/>
  <c r="T1618"/>
  <c r="AA1698"/>
  <c r="AH1698" s="1"/>
  <c r="AA1857"/>
  <c r="AH1857" s="1"/>
  <c r="AA2073"/>
  <c r="AA1073"/>
  <c r="AH1073" s="1"/>
  <c r="A172" i="57"/>
  <c r="P195"/>
  <c r="B158"/>
  <c r="I154"/>
  <c r="D153"/>
  <c r="Y96" i="38"/>
  <c r="G2117" i="50"/>
  <c r="H2117" s="1"/>
  <c r="H95" i="62" s="1"/>
  <c r="I202" i="57"/>
  <c r="U155"/>
  <c r="D42" i="52"/>
  <c r="G645"/>
  <c r="O194" i="57"/>
  <c r="G497" i="52"/>
  <c r="S182" i="57"/>
  <c r="Z627" i="52"/>
  <c r="AG627" s="1"/>
  <c r="F166" i="57"/>
  <c r="U109"/>
  <c r="M164"/>
  <c r="U107"/>
  <c r="I78"/>
  <c r="S183"/>
  <c r="Q142"/>
  <c r="H79"/>
  <c r="F127"/>
  <c r="M166"/>
  <c r="I85"/>
  <c r="X402" i="52"/>
  <c r="T142" i="57"/>
  <c r="Z618" i="52"/>
  <c r="AG618" s="1"/>
  <c r="G598"/>
  <c r="G503"/>
  <c r="X639"/>
  <c r="H87" i="57"/>
  <c r="L129"/>
  <c r="N129" s="1"/>
  <c r="G511" i="52"/>
  <c r="M97" i="57"/>
  <c r="Z498" i="52"/>
  <c r="AG498" s="1"/>
  <c r="L124" i="57"/>
  <c r="N124" s="1"/>
  <c r="G617" i="52"/>
  <c r="E197" i="57"/>
  <c r="R202"/>
  <c r="D135"/>
  <c r="S152"/>
  <c r="G160"/>
  <c r="T175"/>
  <c r="Y327" i="58"/>
  <c r="N391" i="52"/>
  <c r="AA888" i="50"/>
  <c r="AH888" s="1"/>
  <c r="AA1047"/>
  <c r="AA1290"/>
  <c r="AH1290" s="1"/>
  <c r="AA1938"/>
  <c r="AH1938" s="1"/>
  <c r="Y132" i="58"/>
  <c r="AA1019" i="50"/>
  <c r="AH1019" s="1"/>
  <c r="Y359" i="58"/>
  <c r="AA1050" i="50"/>
  <c r="AH1050" s="1"/>
  <c r="AA1452"/>
  <c r="AH1452" s="1"/>
  <c r="AA1884"/>
  <c r="AA1023"/>
  <c r="AA291"/>
  <c r="AA507"/>
  <c r="AH507" s="1"/>
  <c r="AA696"/>
  <c r="AH696" s="1"/>
  <c r="AA1239"/>
  <c r="AH1239" s="1"/>
  <c r="AA1397"/>
  <c r="AH1397" s="1"/>
  <c r="AA912"/>
  <c r="AH912" s="1"/>
  <c r="AA210"/>
  <c r="AH210" s="1"/>
  <c r="AA1644"/>
  <c r="AH1644" s="1"/>
  <c r="AA183"/>
  <c r="AH183" s="1"/>
  <c r="AA1833"/>
  <c r="AH1833" s="1"/>
  <c r="N366" i="52"/>
  <c r="AA668" i="50"/>
  <c r="AH668" s="1"/>
  <c r="AA695"/>
  <c r="AH695" s="1"/>
  <c r="AA1532"/>
  <c r="AH1532" s="1"/>
  <c r="AA1806"/>
  <c r="AH1806" s="1"/>
  <c r="N357" i="52"/>
  <c r="AA723" i="50"/>
  <c r="AH723" s="1"/>
  <c r="AA1293"/>
  <c r="AH1293" s="1"/>
  <c r="AA2072"/>
  <c r="AH2072" s="1"/>
  <c r="N353" i="52"/>
  <c r="N383"/>
  <c r="AG410"/>
  <c r="AA1212" i="50"/>
  <c r="AH1212" s="1"/>
  <c r="Y100" i="58"/>
  <c r="AA1370" i="50"/>
  <c r="AH1370" s="1"/>
  <c r="AA911"/>
  <c r="AA1856"/>
  <c r="AH1856" s="1"/>
  <c r="AA653" i="52"/>
  <c r="AA669"/>
  <c r="AA661"/>
  <c r="AA665"/>
  <c r="P13" i="57"/>
  <c r="I594" i="52"/>
  <c r="I595"/>
  <c r="I597"/>
  <c r="AE595"/>
  <c r="AE594"/>
  <c r="B387"/>
  <c r="B435" s="1"/>
  <c r="B483" s="1"/>
  <c r="B531" s="1"/>
  <c r="B579" s="1"/>
  <c r="B627" s="1"/>
  <c r="B675" s="1"/>
  <c r="B434"/>
  <c r="B482"/>
  <c r="B530" s="1"/>
  <c r="B578" s="1"/>
  <c r="B626" s="1"/>
  <c r="B674" s="1"/>
  <c r="H437"/>
  <c r="N437"/>
  <c r="H424"/>
  <c r="N424"/>
  <c r="H418"/>
  <c r="N418"/>
  <c r="H420"/>
  <c r="N420"/>
  <c r="H415"/>
  <c r="N415"/>
  <c r="H412"/>
  <c r="N412"/>
  <c r="J481"/>
  <c r="J465"/>
  <c r="J482"/>
  <c r="J459"/>
  <c r="J494"/>
  <c r="J453"/>
  <c r="J450"/>
  <c r="J451"/>
  <c r="B393"/>
  <c r="B440"/>
  <c r="B488" s="1"/>
  <c r="B536" s="1"/>
  <c r="B584" s="1"/>
  <c r="B632" s="1"/>
  <c r="B680" s="1"/>
  <c r="AC465"/>
  <c r="AC459"/>
  <c r="AC482"/>
  <c r="AC481"/>
  <c r="AC453"/>
  <c r="AC451"/>
  <c r="AC494"/>
  <c r="AC450"/>
  <c r="V1970" i="50"/>
  <c r="K1561"/>
  <c r="AV1561"/>
  <c r="C393" i="52"/>
  <c r="O392"/>
  <c r="C440"/>
  <c r="T1914" i="50"/>
  <c r="T1915"/>
  <c r="T1912"/>
  <c r="T1899"/>
  <c r="T1911"/>
  <c r="T1910"/>
  <c r="T1916"/>
  <c r="T1913"/>
  <c r="T1908"/>
  <c r="K1898"/>
  <c r="AB653" i="52"/>
  <c r="AB661"/>
  <c r="AB669"/>
  <c r="AB665"/>
  <c r="L594"/>
  <c r="L595"/>
  <c r="L481"/>
  <c r="L451"/>
  <c r="L453"/>
  <c r="L459"/>
  <c r="L494"/>
  <c r="L482"/>
  <c r="L450"/>
  <c r="L465"/>
  <c r="T1996" i="50"/>
  <c r="T1994"/>
  <c r="T1980"/>
  <c r="T1989"/>
  <c r="T1995"/>
  <c r="T1997"/>
  <c r="T1993"/>
  <c r="K1979"/>
  <c r="T1992"/>
  <c r="T1991"/>
  <c r="O379" i="52"/>
  <c r="C427"/>
  <c r="AB595"/>
  <c r="AB594"/>
  <c r="AB597"/>
  <c r="AA415"/>
  <c r="AG415" s="1"/>
  <c r="AA418"/>
  <c r="AG418" s="1"/>
  <c r="AA412"/>
  <c r="AG412" s="1"/>
  <c r="AQ1588" i="50"/>
  <c r="D433" i="52"/>
  <c r="O385"/>
  <c r="K670" i="50"/>
  <c r="AV670"/>
  <c r="AQ1534"/>
  <c r="K1534" s="1"/>
  <c r="AK130" i="58"/>
  <c r="M130" s="1"/>
  <c r="AC229" i="50"/>
  <c r="D451" i="52"/>
  <c r="D499" s="1"/>
  <c r="D547" s="1"/>
  <c r="D595" s="1"/>
  <c r="D643" s="1"/>
  <c r="AK291" i="58"/>
  <c r="M291" s="1"/>
  <c r="AV2075" i="50"/>
  <c r="K2075"/>
  <c r="D431" i="52"/>
  <c r="O383"/>
  <c r="N410"/>
  <c r="AA494"/>
  <c r="AA451"/>
  <c r="AA453"/>
  <c r="AA481"/>
  <c r="AA450"/>
  <c r="AA482"/>
  <c r="AA459"/>
  <c r="AA465"/>
  <c r="AA595"/>
  <c r="AG593"/>
  <c r="K508" i="50"/>
  <c r="AV508"/>
  <c r="Q576"/>
  <c r="K671"/>
  <c r="AV1886"/>
  <c r="AV509"/>
  <c r="AV643"/>
  <c r="K643"/>
  <c r="D459" i="52"/>
  <c r="K374" i="50"/>
  <c r="AV374"/>
  <c r="T857"/>
  <c r="T858"/>
  <c r="T860"/>
  <c r="K845"/>
  <c r="T862"/>
  <c r="T846"/>
  <c r="T861"/>
  <c r="T855"/>
  <c r="J177" i="38"/>
  <c r="I177"/>
  <c r="G177"/>
  <c r="I413" i="52"/>
  <c r="M275" i="58"/>
  <c r="W261"/>
  <c r="R260"/>
  <c r="H553" i="52"/>
  <c r="N553" s="1"/>
  <c r="H563"/>
  <c r="H552"/>
  <c r="H560"/>
  <c r="N560"/>
  <c r="H546"/>
  <c r="H547"/>
  <c r="H576"/>
  <c r="H583"/>
  <c r="N583" s="1"/>
  <c r="H548"/>
  <c r="H584"/>
  <c r="H579"/>
  <c r="N579"/>
  <c r="H580"/>
  <c r="H582"/>
  <c r="H577"/>
  <c r="H555"/>
  <c r="N545"/>
  <c r="H558"/>
  <c r="Q1259" i="50"/>
  <c r="BE1262"/>
  <c r="AK1262"/>
  <c r="AQ238"/>
  <c r="AV238"/>
  <c r="T482"/>
  <c r="K467"/>
  <c r="Q122" i="58"/>
  <c r="F393" i="52"/>
  <c r="F441" s="1"/>
  <c r="F489" s="1"/>
  <c r="F537" s="1"/>
  <c r="F585" s="1"/>
  <c r="F633" s="1"/>
  <c r="F681" s="1"/>
  <c r="R29" i="60"/>
  <c r="Q218" i="58"/>
  <c r="H403" i="52"/>
  <c r="H441"/>
  <c r="N441" s="1"/>
  <c r="L426"/>
  <c r="L421"/>
  <c r="L425"/>
  <c r="I590"/>
  <c r="I547"/>
  <c r="I546"/>
  <c r="AQ212" i="50"/>
  <c r="AV212" s="1"/>
  <c r="J175" i="38"/>
  <c r="I175"/>
  <c r="H175"/>
  <c r="N143" i="57"/>
  <c r="G115"/>
  <c r="N146"/>
  <c r="G85"/>
  <c r="N141"/>
  <c r="N164"/>
  <c r="N192"/>
  <c r="G103"/>
  <c r="N191"/>
  <c r="G122"/>
  <c r="L81" i="61"/>
  <c r="AJ81"/>
  <c r="AJ94"/>
  <c r="B420" i="52"/>
  <c r="B468" s="1"/>
  <c r="B516" s="1"/>
  <c r="B564" s="1"/>
  <c r="B612" s="1"/>
  <c r="B660" s="1"/>
  <c r="B373"/>
  <c r="AA2018" i="50"/>
  <c r="AA1722"/>
  <c r="AA1587"/>
  <c r="AA1208"/>
  <c r="AA992"/>
  <c r="AA969"/>
  <c r="AA803"/>
  <c r="AA317"/>
  <c r="AA290"/>
  <c r="Y263" i="58"/>
  <c r="AA1425" i="50"/>
  <c r="AA1127"/>
  <c r="AA372"/>
  <c r="AA1776"/>
  <c r="AA1586"/>
  <c r="AA642"/>
  <c r="AA1887"/>
  <c r="AA1830"/>
  <c r="AA1752"/>
  <c r="AA1424"/>
  <c r="AA1344"/>
  <c r="AA834"/>
  <c r="AA371"/>
  <c r="Y164" i="58"/>
  <c r="AA1749" i="50"/>
  <c r="AA1131"/>
  <c r="AA993"/>
  <c r="AA884"/>
  <c r="AA426"/>
  <c r="Y296" i="58"/>
  <c r="Y68"/>
  <c r="AA399" i="50"/>
  <c r="AA1748"/>
  <c r="AA453"/>
  <c r="AH453" s="1"/>
  <c r="AA321"/>
  <c r="AA267"/>
  <c r="Y72" i="58"/>
  <c r="AA966" i="50"/>
  <c r="AA831"/>
  <c r="AA534"/>
  <c r="AA425"/>
  <c r="AA1455"/>
  <c r="AA858"/>
  <c r="AA2019"/>
  <c r="AA1694"/>
  <c r="AA777"/>
  <c r="AA159"/>
  <c r="AA78"/>
  <c r="AA1478"/>
  <c r="AA965"/>
  <c r="AA2045"/>
  <c r="AA776"/>
  <c r="AA240"/>
  <c r="AA132"/>
  <c r="Y324" i="58"/>
  <c r="AA345" i="50"/>
  <c r="AA213"/>
  <c r="AA564"/>
  <c r="Y292" i="58"/>
  <c r="C373" i="52"/>
  <c r="C420"/>
  <c r="P81" i="61"/>
  <c r="P94"/>
  <c r="AN81"/>
  <c r="AN94"/>
  <c r="B36" i="52"/>
  <c r="C41"/>
  <c r="AA1185" i="50"/>
  <c r="AH1185" s="1"/>
  <c r="AA1775"/>
  <c r="I81" i="61"/>
  <c r="I107"/>
  <c r="Y196" i="58"/>
  <c r="AA615" i="50"/>
  <c r="AA1046"/>
  <c r="AG81" i="61"/>
  <c r="AG107"/>
  <c r="R28" i="60"/>
  <c r="F388" i="52"/>
  <c r="F436" s="1"/>
  <c r="F484" s="1"/>
  <c r="F532" s="1"/>
  <c r="F580" s="1"/>
  <c r="F628" s="1"/>
  <c r="F676" s="1"/>
  <c r="AA1101" i="50"/>
  <c r="AA1401"/>
  <c r="AA1860"/>
  <c r="AA699"/>
  <c r="AA1128"/>
  <c r="AA1914"/>
  <c r="AA1182"/>
  <c r="AA1479"/>
  <c r="Y360" i="58"/>
  <c r="AA1158" i="50"/>
  <c r="AA479"/>
  <c r="AA857"/>
  <c r="AA480"/>
  <c r="AA587"/>
  <c r="AA1995"/>
  <c r="AA588"/>
  <c r="AA780"/>
  <c r="B403" i="52"/>
  <c r="B451"/>
  <c r="B499" s="1"/>
  <c r="B547" s="1"/>
  <c r="B595" s="1"/>
  <c r="B643" s="1"/>
  <c r="AO99" i="58"/>
  <c r="B356" i="52"/>
  <c r="B404" s="1"/>
  <c r="B452" s="1"/>
  <c r="B500" s="1"/>
  <c r="B548" s="1"/>
  <c r="B596" s="1"/>
  <c r="B644" s="1"/>
  <c r="Y909" i="50"/>
  <c r="AR909" s="1"/>
  <c r="BH899" s="1"/>
  <c r="BE615"/>
  <c r="Q1955"/>
  <c r="Y1700"/>
  <c r="Q1368"/>
  <c r="H484" i="52"/>
  <c r="Y1078" i="50"/>
  <c r="H464" i="52"/>
  <c r="H452"/>
  <c r="R1961" i="50"/>
  <c r="BW1952" s="1"/>
  <c r="R1259"/>
  <c r="BW1250" s="1"/>
  <c r="BD1370"/>
  <c r="Q1953"/>
  <c r="AA163" i="58"/>
  <c r="AF163" s="1"/>
  <c r="AG163" s="1"/>
  <c r="Q1260" i="50"/>
  <c r="Q1251"/>
  <c r="Q1358"/>
  <c r="AK1368"/>
  <c r="BC1263"/>
  <c r="Q1359"/>
  <c r="Y1314"/>
  <c r="M1314" s="1"/>
  <c r="Y725"/>
  <c r="AY725" s="1"/>
  <c r="H462" i="52"/>
  <c r="H480"/>
  <c r="BE1372" i="50"/>
  <c r="Y1073"/>
  <c r="AY1073" s="1"/>
  <c r="O472" i="52"/>
  <c r="Q472" s="1"/>
  <c r="Y1155" i="50"/>
  <c r="AY1155" s="1"/>
  <c r="H483" i="52"/>
  <c r="Q1367" i="50"/>
  <c r="AC1147"/>
  <c r="AC1149" s="1"/>
  <c r="X514" i="52"/>
  <c r="R1874" i="50"/>
  <c r="BV1871" s="1"/>
  <c r="AK722"/>
  <c r="Y1800"/>
  <c r="BE1263"/>
  <c r="R1071"/>
  <c r="BX1061" s="1"/>
  <c r="Q1656"/>
  <c r="Q578"/>
  <c r="BE723"/>
  <c r="AK585"/>
  <c r="BD724"/>
  <c r="R1260"/>
  <c r="BX1250" s="1"/>
  <c r="AK102" i="58"/>
  <c r="M102" s="1"/>
  <c r="AK720" i="50"/>
  <c r="Y884"/>
  <c r="BD723"/>
  <c r="AK1667"/>
  <c r="Y882"/>
  <c r="M882" s="1"/>
  <c r="BC1262"/>
  <c r="N631" i="52"/>
  <c r="N1250" i="50"/>
  <c r="BT1250" s="1"/>
  <c r="N519" i="52"/>
  <c r="Y889" i="50"/>
  <c r="AY889" s="1"/>
  <c r="AC877"/>
  <c r="BE1344"/>
  <c r="R1253"/>
  <c r="BV1250" s="1"/>
  <c r="X537" i="52"/>
  <c r="Q710" i="50"/>
  <c r="X621" i="52"/>
  <c r="BC724" i="50"/>
  <c r="Y887"/>
  <c r="AY887" s="1"/>
  <c r="Y888"/>
  <c r="AY888" s="1"/>
  <c r="Y885"/>
  <c r="AY885" s="1"/>
  <c r="Y618"/>
  <c r="N1251"/>
  <c r="BU1250" s="1"/>
  <c r="Q585"/>
  <c r="Q711"/>
  <c r="Q584"/>
  <c r="N470" i="52"/>
  <c r="BD1263" i="50"/>
  <c r="Y890"/>
  <c r="AY890" s="1"/>
  <c r="Q1061"/>
  <c r="AK1665"/>
  <c r="I102" i="58"/>
  <c r="Y429" i="50"/>
  <c r="E296" i="52"/>
  <c r="Q1664" i="50"/>
  <c r="N522" i="52"/>
  <c r="R1962" i="50"/>
  <c r="BX1952" s="1"/>
  <c r="Y431"/>
  <c r="Y423"/>
  <c r="AR423" s="1"/>
  <c r="BH413" s="1"/>
  <c r="Q747"/>
  <c r="N563" i="52"/>
  <c r="AK1829" i="50"/>
  <c r="AK1638"/>
  <c r="N628" i="52"/>
  <c r="BD2020" i="50"/>
  <c r="O417" i="52"/>
  <c r="Q417" s="1"/>
  <c r="BC560" i="50"/>
  <c r="Q740"/>
  <c r="AA66" i="58"/>
  <c r="AC66" s="1"/>
  <c r="AK165"/>
  <c r="M165" s="1"/>
  <c r="BE751" i="50"/>
  <c r="BC722"/>
  <c r="BE2045"/>
  <c r="Y643"/>
  <c r="AY643" s="1"/>
  <c r="R197" i="58"/>
  <c r="R198" s="1"/>
  <c r="N523" i="52"/>
  <c r="AK261" i="50"/>
  <c r="BC723"/>
  <c r="Y427"/>
  <c r="N672" i="52"/>
  <c r="Y426" i="50"/>
  <c r="N657" i="52"/>
  <c r="I135" i="58"/>
  <c r="Q720" i="50"/>
  <c r="Q719"/>
  <c r="Y639"/>
  <c r="Y724"/>
  <c r="AY724" s="1"/>
  <c r="Y1696"/>
  <c r="L305" i="58"/>
  <c r="BF282" s="1"/>
  <c r="X527" i="52"/>
  <c r="Q2063" i="50"/>
  <c r="N625" i="52"/>
  <c r="AE256" i="58"/>
  <c r="Y726" i="50"/>
  <c r="AY726" s="1"/>
  <c r="R719"/>
  <c r="BW710" s="1"/>
  <c r="AC634"/>
  <c r="Y728"/>
  <c r="AY728" s="1"/>
  <c r="Y1692"/>
  <c r="M1692" s="1"/>
  <c r="Y720"/>
  <c r="M720" s="1"/>
  <c r="N478" i="52"/>
  <c r="N618"/>
  <c r="Y723" i="50"/>
  <c r="AY723" s="1"/>
  <c r="AK162" i="58"/>
  <c r="M162" s="1"/>
  <c r="R1631" i="50"/>
  <c r="BV1628" s="1"/>
  <c r="AC715"/>
  <c r="AC717" s="1"/>
  <c r="Q261"/>
  <c r="L273" i="58"/>
  <c r="BF250" s="1"/>
  <c r="Y1694" i="50"/>
  <c r="AY1694" s="1"/>
  <c r="Y727"/>
  <c r="AY727" s="1"/>
  <c r="Y1695"/>
  <c r="AY1695" s="1"/>
  <c r="L304" i="58"/>
  <c r="AP259"/>
  <c r="AP261" s="1"/>
  <c r="Y372" i="50"/>
  <c r="AY372" s="1"/>
  <c r="I263" i="58"/>
  <c r="R720" i="50"/>
  <c r="BX710" s="1"/>
  <c r="BZ391"/>
  <c r="BZ396" s="1"/>
  <c r="N557" i="52"/>
  <c r="N279" i="50"/>
  <c r="BU278" s="1"/>
  <c r="BE1966"/>
  <c r="Y642"/>
  <c r="AY642" s="1"/>
  <c r="Y647"/>
  <c r="AY647" s="1"/>
  <c r="N710"/>
  <c r="BT710" s="1"/>
  <c r="Y620"/>
  <c r="AY620" s="1"/>
  <c r="Y1808"/>
  <c r="AY1808" s="1"/>
  <c r="AK164" i="58"/>
  <c r="BC1775" i="50"/>
  <c r="N711"/>
  <c r="BU710" s="1"/>
  <c r="Y614"/>
  <c r="AO259" i="58"/>
  <c r="AO261" s="1"/>
  <c r="BE1885" i="50"/>
  <c r="Y646"/>
  <c r="AY646" s="1"/>
  <c r="R1692"/>
  <c r="BX1682" s="1"/>
  <c r="Y836"/>
  <c r="AY836" s="1"/>
  <c r="Y644"/>
  <c r="AY644" s="1"/>
  <c r="Y831"/>
  <c r="AY831" s="1"/>
  <c r="R713"/>
  <c r="BV710" s="1"/>
  <c r="Y619"/>
  <c r="AY619" s="1"/>
  <c r="L272" i="58"/>
  <c r="BE250" s="1"/>
  <c r="N1628" i="50"/>
  <c r="BT1628" s="1"/>
  <c r="Q1952"/>
  <c r="Y290"/>
  <c r="AY290" s="1"/>
  <c r="BC588"/>
  <c r="Y1510"/>
  <c r="N507" i="52"/>
  <c r="L74" i="58"/>
  <c r="BA58" s="1"/>
  <c r="R133"/>
  <c r="R134" s="1"/>
  <c r="Q827" i="50"/>
  <c r="Y1349"/>
  <c r="AY1349" s="1"/>
  <c r="Y1503"/>
  <c r="AR1503" s="1"/>
  <c r="BH1493" s="1"/>
  <c r="AO67" i="58"/>
  <c r="AO68" s="1"/>
  <c r="AO70" s="1"/>
  <c r="Y1750" i="50"/>
  <c r="AY1750" s="1"/>
  <c r="BE1641"/>
  <c r="AK133" i="58"/>
  <c r="M133" s="1"/>
  <c r="R1152" i="50"/>
  <c r="BX1142" s="1"/>
  <c r="Q818"/>
  <c r="L138" i="58"/>
  <c r="BA122" s="1"/>
  <c r="R1145" i="50"/>
  <c r="BV1142" s="1"/>
  <c r="Y616"/>
  <c r="AY616" s="1"/>
  <c r="N409" i="52"/>
  <c r="BD2074" i="50"/>
  <c r="Y1506"/>
  <c r="AY1506" s="1"/>
  <c r="Y1183"/>
  <c r="AY1183" s="1"/>
  <c r="BD264"/>
  <c r="BZ1012"/>
  <c r="BZ1017" s="1"/>
  <c r="N654" i="52"/>
  <c r="Y1505" i="50"/>
  <c r="AY1505" s="1"/>
  <c r="AK1692"/>
  <c r="Y1181"/>
  <c r="AY1181" s="1"/>
  <c r="L80" i="58"/>
  <c r="BE58" s="1"/>
  <c r="Y1341" i="50"/>
  <c r="AR1341" s="1"/>
  <c r="AA358" i="58"/>
  <c r="B41" i="57"/>
  <c r="Q251" i="50"/>
  <c r="AC1498"/>
  <c r="AC1500" s="1"/>
  <c r="Q2060"/>
  <c r="BD1696"/>
  <c r="AO163" i="58"/>
  <c r="AO165" s="1"/>
  <c r="R1955" i="50"/>
  <c r="BV1952" s="1"/>
  <c r="N1629"/>
  <c r="BU1628" s="1"/>
  <c r="Y2077"/>
  <c r="AY2077" s="1"/>
  <c r="Y1348"/>
  <c r="AY1348" s="1"/>
  <c r="AF102" i="58"/>
  <c r="AG102" s="1"/>
  <c r="I101"/>
  <c r="Q2069" i="50"/>
  <c r="M320" i="58"/>
  <c r="L176"/>
  <c r="BE154" s="1"/>
  <c r="Y295" i="50"/>
  <c r="AY295" s="1"/>
  <c r="AC526"/>
  <c r="AC283"/>
  <c r="E291" i="52"/>
  <c r="R1637" i="50"/>
  <c r="BW1628" s="1"/>
  <c r="L177" i="58"/>
  <c r="BF154" s="1"/>
  <c r="N605" i="52"/>
  <c r="BD1047" i="50"/>
  <c r="Y538"/>
  <c r="AY538" s="1"/>
  <c r="Y534"/>
  <c r="AY534" s="1"/>
  <c r="BE1695"/>
  <c r="B49" i="57"/>
  <c r="X634" i="52"/>
  <c r="AP131" i="58"/>
  <c r="AP133" s="1"/>
  <c r="N1683" i="50"/>
  <c r="BU1682" s="1"/>
  <c r="I198" i="58"/>
  <c r="BE1965" i="50"/>
  <c r="N438" i="52"/>
  <c r="Y535" i="50"/>
  <c r="AY535" s="1"/>
  <c r="Y1344"/>
  <c r="AY1344" s="1"/>
  <c r="AK135" i="58"/>
  <c r="Q278" i="50"/>
  <c r="Q1682"/>
  <c r="BD1209"/>
  <c r="Y536"/>
  <c r="AY536" s="1"/>
  <c r="Y1509"/>
  <c r="AY1509" s="1"/>
  <c r="M1746"/>
  <c r="AC1336"/>
  <c r="AC1338" s="1"/>
  <c r="N1332"/>
  <c r="BU1331" s="1"/>
  <c r="Y1343"/>
  <c r="AY1343" s="1"/>
  <c r="O390" i="52"/>
  <c r="Q390" s="1"/>
  <c r="Y539" i="50"/>
  <c r="AY539" s="1"/>
  <c r="I103" i="58"/>
  <c r="BZ1601" i="50"/>
  <c r="BE1371"/>
  <c r="Y1511"/>
  <c r="C486" i="52"/>
  <c r="Y1345" i="50"/>
  <c r="AY1345" s="1"/>
  <c r="N1952"/>
  <c r="BT1952" s="1"/>
  <c r="AK103" i="58"/>
  <c r="Y1508" i="50"/>
  <c r="AY1508" s="1"/>
  <c r="L75" i="58"/>
  <c r="BB58" s="1"/>
  <c r="Q281" i="50"/>
  <c r="Y1346"/>
  <c r="AY1346" s="1"/>
  <c r="L81" i="58"/>
  <c r="BF58" s="1"/>
  <c r="L171"/>
  <c r="BB154" s="1"/>
  <c r="R638" i="50"/>
  <c r="BW629" s="1"/>
  <c r="AK1964"/>
  <c r="Y641"/>
  <c r="AY641" s="1"/>
  <c r="AV1156"/>
  <c r="R773"/>
  <c r="BW764" s="1"/>
  <c r="N1493"/>
  <c r="BT1493" s="1"/>
  <c r="Y615"/>
  <c r="AY615" s="1"/>
  <c r="F380" i="52"/>
  <c r="F428" s="1"/>
  <c r="F476" s="1"/>
  <c r="F524" s="1"/>
  <c r="F572" s="1"/>
  <c r="F620" s="1"/>
  <c r="F668" s="1"/>
  <c r="BD2018" i="50"/>
  <c r="N472" i="52"/>
  <c r="Q2042" i="50"/>
  <c r="BZ1844"/>
  <c r="Y617"/>
  <c r="AY617" s="1"/>
  <c r="AR612"/>
  <c r="BH602" s="1"/>
  <c r="BE641"/>
  <c r="Y1618"/>
  <c r="AC607"/>
  <c r="AC612" s="1"/>
  <c r="AC614" s="1"/>
  <c r="AV1616"/>
  <c r="Y1616"/>
  <c r="BZ1088"/>
  <c r="BZ629"/>
  <c r="BD291"/>
  <c r="Y782"/>
  <c r="AY782" s="1"/>
  <c r="Y1806"/>
  <c r="AY1806" s="1"/>
  <c r="AG664" i="52"/>
  <c r="Y776" i="50"/>
  <c r="AY776" s="1"/>
  <c r="F377" i="52"/>
  <c r="F425" s="1"/>
  <c r="F473" s="1"/>
  <c r="F521" s="1"/>
  <c r="F569" s="1"/>
  <c r="F617" s="1"/>
  <c r="F665" s="1"/>
  <c r="BE1964" i="50"/>
  <c r="BE805"/>
  <c r="Y398"/>
  <c r="AY398" s="1"/>
  <c r="BE1667"/>
  <c r="Y1854"/>
  <c r="R1800"/>
  <c r="BX1790" s="1"/>
  <c r="L234" i="58"/>
  <c r="BA218" s="1"/>
  <c r="N1331" i="50"/>
  <c r="BT1331" s="1"/>
  <c r="Q1871"/>
  <c r="BE1074"/>
  <c r="N549"/>
  <c r="BU548" s="1"/>
  <c r="BC535"/>
  <c r="B56" i="57"/>
  <c r="Q1118" i="50"/>
  <c r="Y1050"/>
  <c r="AY1050" s="1"/>
  <c r="BE1883"/>
  <c r="AK1071"/>
  <c r="AK1073"/>
  <c r="BD1885"/>
  <c r="AK1125"/>
  <c r="Y1646"/>
  <c r="AY1646" s="1"/>
  <c r="V72" i="38"/>
  <c r="I325" i="58"/>
  <c r="AA292"/>
  <c r="AC292" s="1"/>
  <c r="AD292" s="1"/>
  <c r="K292" s="1"/>
  <c r="M292" s="1"/>
  <c r="BC1776" i="50"/>
  <c r="R290" i="58"/>
  <c r="R291" s="1"/>
  <c r="BC1073" i="50"/>
  <c r="AA263" i="58"/>
  <c r="AE263" s="1"/>
  <c r="AY250" s="1"/>
  <c r="BD2019" i="50"/>
  <c r="Q1655"/>
  <c r="BE1640"/>
  <c r="AV751"/>
  <c r="X473" i="52"/>
  <c r="X525"/>
  <c r="BE506" i="50"/>
  <c r="AK295" i="58"/>
  <c r="BC1642" i="50"/>
  <c r="R226" i="58"/>
  <c r="R227" s="1"/>
  <c r="I295"/>
  <c r="BD1777" i="50"/>
  <c r="I290" i="58"/>
  <c r="Y1052" i="50"/>
  <c r="AY1052" s="1"/>
  <c r="BC1858"/>
  <c r="I162" i="58"/>
  <c r="X508" i="52"/>
  <c r="AC1039" i="50"/>
  <c r="AC1041" s="1"/>
  <c r="BD1775"/>
  <c r="Q1638"/>
  <c r="N485" i="52"/>
  <c r="Q1064" i="50"/>
  <c r="Y293"/>
  <c r="AY293" s="1"/>
  <c r="L299" i="58"/>
  <c r="BB282" s="1"/>
  <c r="AG597" i="52"/>
  <c r="Y288" i="50"/>
  <c r="AR288" s="1"/>
  <c r="N1062"/>
  <c r="BU1061" s="1"/>
  <c r="R2009"/>
  <c r="BV2006" s="1"/>
  <c r="Y1644"/>
  <c r="AY1644" s="1"/>
  <c r="AK1343"/>
  <c r="Q388" i="52"/>
  <c r="Y1668" i="50"/>
  <c r="AY1668" s="1"/>
  <c r="Y1641"/>
  <c r="AY1641" s="1"/>
  <c r="Y1638"/>
  <c r="Y292"/>
  <c r="AY292" s="1"/>
  <c r="Y400"/>
  <c r="AY400" s="1"/>
  <c r="Y296"/>
  <c r="AY296" s="1"/>
  <c r="BC1075"/>
  <c r="AC391"/>
  <c r="AC396" s="1"/>
  <c r="X435" i="52"/>
  <c r="N622"/>
  <c r="Y1642" i="50"/>
  <c r="AY1642" s="1"/>
  <c r="BC1641"/>
  <c r="BD1858"/>
  <c r="BE292"/>
  <c r="Y1643"/>
  <c r="AY1643" s="1"/>
  <c r="Q391" i="52"/>
  <c r="BD1075" i="50"/>
  <c r="Q1746"/>
  <c r="L298" i="58"/>
  <c r="BA282" s="1"/>
  <c r="Y2074" i="50"/>
  <c r="AY2074" s="1"/>
  <c r="AO291" i="58"/>
  <c r="N1736" i="50"/>
  <c r="BT1736" s="1"/>
  <c r="Y1160"/>
  <c r="AY1160" s="1"/>
  <c r="Y294"/>
  <c r="AY294" s="1"/>
  <c r="BD1074"/>
  <c r="Y399"/>
  <c r="AY399" s="1"/>
  <c r="AG405" i="52"/>
  <c r="N562"/>
  <c r="L267" i="58"/>
  <c r="BB250" s="1"/>
  <c r="Y1158" i="50"/>
  <c r="AY1158" s="1"/>
  <c r="BC1640"/>
  <c r="Y1645"/>
  <c r="AY1645" s="1"/>
  <c r="N468" i="52"/>
  <c r="Y377" i="50"/>
  <c r="AY377" s="1"/>
  <c r="I134" i="58"/>
  <c r="BD1021" i="50"/>
  <c r="BZ1849"/>
  <c r="BZ1854" s="1"/>
  <c r="Q1071"/>
  <c r="Y403"/>
  <c r="AY403" s="1"/>
  <c r="Q1658"/>
  <c r="AC131" i="58"/>
  <c r="X599" i="52"/>
  <c r="N568"/>
  <c r="Y1860" i="50"/>
  <c r="AY1860" s="1"/>
  <c r="Q1881"/>
  <c r="BE1075"/>
  <c r="Y402"/>
  <c r="AY402" s="1"/>
  <c r="AK134" i="58"/>
  <c r="M134" s="1"/>
  <c r="C429" i="52"/>
  <c r="C477" s="1"/>
  <c r="R2070" i="50"/>
  <c r="BX2060" s="1"/>
  <c r="AK324" i="58"/>
  <c r="Y376" i="50"/>
  <c r="AY376" s="1"/>
  <c r="Q1872"/>
  <c r="Q1062"/>
  <c r="R2063"/>
  <c r="BV2060" s="1"/>
  <c r="BD507"/>
  <c r="Q1962"/>
  <c r="AK1962"/>
  <c r="Y752"/>
  <c r="AY752" s="1"/>
  <c r="BE1073"/>
  <c r="BD1073"/>
  <c r="AG546" i="52"/>
  <c r="N581"/>
  <c r="BD2073" i="50"/>
  <c r="BE749"/>
  <c r="BC1074"/>
  <c r="Y371"/>
  <c r="AY371" s="1"/>
  <c r="I324" i="58"/>
  <c r="BC1883" i="50"/>
  <c r="L336" i="58"/>
  <c r="BE1345" i="50"/>
  <c r="AK1883"/>
  <c r="R1064"/>
  <c r="BV1061" s="1"/>
  <c r="G220" i="38"/>
  <c r="Y1156" i="50"/>
  <c r="AY1156" s="1"/>
  <c r="BZ1606"/>
  <c r="BZ1608" s="1"/>
  <c r="BE533"/>
  <c r="AV1454"/>
  <c r="Y1157"/>
  <c r="AY1157" s="1"/>
  <c r="L107" i="58"/>
  <c r="BB90" s="1"/>
  <c r="BE534" i="50"/>
  <c r="AK358" i="58"/>
  <c r="M358" s="1"/>
  <c r="N620" i="52"/>
  <c r="BZ197" i="50"/>
  <c r="R260"/>
  <c r="BW251" s="1"/>
  <c r="BE535"/>
  <c r="I293" i="58"/>
  <c r="W328"/>
  <c r="BZ1120" i="50"/>
  <c r="BZ1122" s="1"/>
  <c r="BE587"/>
  <c r="BZ737"/>
  <c r="BC265"/>
  <c r="I163" i="58"/>
  <c r="BE345" i="50"/>
  <c r="R983"/>
  <c r="BV980" s="1"/>
  <c r="X624" i="52"/>
  <c r="AR1314" i="50"/>
  <c r="BH1304" s="1"/>
  <c r="BZ1250"/>
  <c r="Q254"/>
  <c r="C435" i="52"/>
  <c r="C483"/>
  <c r="C531" s="1"/>
  <c r="N566"/>
  <c r="Y560" i="50"/>
  <c r="AY560" s="1"/>
  <c r="X619" i="52"/>
  <c r="BD2072" i="50"/>
  <c r="Y238"/>
  <c r="AY238" s="1"/>
  <c r="BZ1034"/>
  <c r="AK533"/>
  <c r="X600" i="52"/>
  <c r="BZ1628" i="50"/>
  <c r="N501" i="52"/>
  <c r="BD831" i="50"/>
  <c r="R503"/>
  <c r="BW494" s="1"/>
  <c r="AK132" i="58"/>
  <c r="N416" i="52"/>
  <c r="AC1633" i="50"/>
  <c r="AC1635" s="1"/>
  <c r="N552" i="52"/>
  <c r="BZ688" i="50"/>
  <c r="BZ693" s="1"/>
  <c r="N530" i="52"/>
  <c r="Y508" i="50"/>
  <c r="AY508" s="1"/>
  <c r="BZ278"/>
  <c r="BZ359"/>
  <c r="BC238"/>
  <c r="AP355" i="58"/>
  <c r="AP356" s="1"/>
  <c r="AP358" s="1"/>
  <c r="BD1883" i="50"/>
  <c r="AA101" i="58"/>
  <c r="AE101" s="1"/>
  <c r="AW90" s="1"/>
  <c r="BD832" i="50"/>
  <c r="AV454"/>
  <c r="BZ953"/>
  <c r="N1143"/>
  <c r="BU1142" s="1"/>
  <c r="BE290"/>
  <c r="AK263"/>
  <c r="BZ1196"/>
  <c r="Y1154"/>
  <c r="AY1154" s="1"/>
  <c r="AG402" i="52"/>
  <c r="Y2078" i="50"/>
  <c r="AY2078" s="1"/>
  <c r="Y2075"/>
  <c r="AY2075" s="1"/>
  <c r="Y2072"/>
  <c r="AY2072" s="1"/>
  <c r="AC2065"/>
  <c r="Y2073"/>
  <c r="AY2073" s="1"/>
  <c r="Y2076"/>
  <c r="AY2076" s="1"/>
  <c r="Y2070"/>
  <c r="G205" i="38"/>
  <c r="AA326" i="58"/>
  <c r="AE326" s="1"/>
  <c r="AX314" s="1"/>
  <c r="Y565" i="50"/>
  <c r="AY565" s="1"/>
  <c r="BE2019"/>
  <c r="N673" i="52"/>
  <c r="AA198" i="58"/>
  <c r="Y428" i="50"/>
  <c r="Y425"/>
  <c r="AY425" s="1"/>
  <c r="Y430"/>
  <c r="AY430" s="1"/>
  <c r="Q765"/>
  <c r="I326" i="58"/>
  <c r="Y1858" i="50"/>
  <c r="AY1858" s="1"/>
  <c r="AC553"/>
  <c r="AC558" s="1"/>
  <c r="W72" i="58"/>
  <c r="AE64"/>
  <c r="Q2036" i="50"/>
  <c r="AP99" i="58"/>
  <c r="L106"/>
  <c r="BA90" s="1"/>
  <c r="BZ1795" i="50"/>
  <c r="BZ1800" s="1"/>
  <c r="BE778"/>
  <c r="Y1857"/>
  <c r="AY1857" s="1"/>
  <c r="Q2015"/>
  <c r="Y558"/>
  <c r="N575" i="52"/>
  <c r="BC506" i="50"/>
  <c r="Q522"/>
  <c r="Y1856"/>
  <c r="AY1856" s="1"/>
  <c r="Y562"/>
  <c r="BZ634"/>
  <c r="BZ639" s="1"/>
  <c r="BZ791"/>
  <c r="Y1862"/>
  <c r="AY1862" s="1"/>
  <c r="BE264"/>
  <c r="BE1397"/>
  <c r="Y563"/>
  <c r="AY563" s="1"/>
  <c r="AO355" i="58"/>
  <c r="AO357" s="1"/>
  <c r="Y566" i="50"/>
  <c r="AY566" s="1"/>
  <c r="L113" i="58"/>
  <c r="N90" s="1"/>
  <c r="BH90" s="1"/>
  <c r="BC749" i="50"/>
  <c r="BC263"/>
  <c r="BZ89"/>
  <c r="BC776"/>
  <c r="Y1861"/>
  <c r="AY1861" s="1"/>
  <c r="Y1159"/>
  <c r="AY1159" s="1"/>
  <c r="Y561"/>
  <c r="AY561" s="1"/>
  <c r="AK747"/>
  <c r="Q738"/>
  <c r="R605"/>
  <c r="BV602" s="1"/>
  <c r="BD2046"/>
  <c r="AK614"/>
  <c r="AK612"/>
  <c r="BD616"/>
  <c r="Q2043"/>
  <c r="BD1884"/>
  <c r="Q603"/>
  <c r="AV292"/>
  <c r="BC616"/>
  <c r="N517" i="52"/>
  <c r="BD1127" i="50"/>
  <c r="BC1048"/>
  <c r="AK1044"/>
  <c r="BE616"/>
  <c r="R989"/>
  <c r="BW980" s="1"/>
  <c r="BD643"/>
  <c r="BD1128"/>
  <c r="V73" i="38"/>
  <c r="AK2045" i="50"/>
  <c r="AK1341"/>
  <c r="N1035"/>
  <c r="BU1034" s="1"/>
  <c r="BZ1466"/>
  <c r="BD535"/>
  <c r="BZ364"/>
  <c r="BE1343"/>
  <c r="BE614"/>
  <c r="R1395"/>
  <c r="BX1385" s="1"/>
  <c r="BE237"/>
  <c r="AK323" i="58"/>
  <c r="M323" s="1"/>
  <c r="AV1426" i="50"/>
  <c r="Q612"/>
  <c r="AC1959"/>
  <c r="AC1962"/>
  <c r="AC1967" s="1"/>
  <c r="N1034"/>
  <c r="BT1034" s="1"/>
  <c r="BC614"/>
  <c r="Y995"/>
  <c r="AY995" s="1"/>
  <c r="Y990"/>
  <c r="AR990" s="1"/>
  <c r="BH980" s="1"/>
  <c r="BZ283"/>
  <c r="BZ285" s="1"/>
  <c r="Y1449"/>
  <c r="AR1449" s="1"/>
  <c r="R639"/>
  <c r="BX629" s="1"/>
  <c r="Q1035"/>
  <c r="BZ1547"/>
  <c r="BZ1682"/>
  <c r="BD318"/>
  <c r="Q1332"/>
  <c r="N504" i="52"/>
  <c r="BZ1876" i="50"/>
  <c r="BZ1881" s="1"/>
  <c r="BC615"/>
  <c r="Y913"/>
  <c r="AY913" s="1"/>
  <c r="R1341"/>
  <c r="BX1331" s="1"/>
  <c r="R990"/>
  <c r="BX980" s="1"/>
  <c r="N603"/>
  <c r="BU602" s="1"/>
  <c r="R1017"/>
  <c r="BX1007" s="1"/>
  <c r="R1044"/>
  <c r="BX1034" s="1"/>
  <c r="Q1340"/>
  <c r="BC1047"/>
  <c r="BZ1574"/>
  <c r="BZ1358"/>
  <c r="Q1341"/>
  <c r="BE2047"/>
  <c r="R611"/>
  <c r="BW602" s="1"/>
  <c r="AC2011"/>
  <c r="AC2013" s="1"/>
  <c r="Q1334"/>
  <c r="BE1370"/>
  <c r="BC642"/>
  <c r="N1655"/>
  <c r="BT1655" s="1"/>
  <c r="BD1856"/>
  <c r="BE1776"/>
  <c r="BD1668"/>
  <c r="I323" i="58"/>
  <c r="BD533" i="50"/>
  <c r="BD778"/>
  <c r="AY1966"/>
  <c r="BD614"/>
  <c r="Q602"/>
  <c r="BD1345"/>
  <c r="R234"/>
  <c r="BX224" s="1"/>
  <c r="Q1494"/>
  <c r="Q1034"/>
  <c r="BD994"/>
  <c r="BZ602"/>
  <c r="BZ818"/>
  <c r="AG655" i="52"/>
  <c r="N602" i="50"/>
  <c r="BT602" s="1"/>
  <c r="N559" i="52"/>
  <c r="Y1665" i="50"/>
  <c r="AR1665" s="1"/>
  <c r="BH1655" s="1"/>
  <c r="BC508"/>
  <c r="BC641"/>
  <c r="BD508"/>
  <c r="Y242"/>
  <c r="AY242" s="1"/>
  <c r="BD1507"/>
  <c r="Q1044"/>
  <c r="BZ1741"/>
  <c r="BZ1746" s="1"/>
  <c r="BZ1660"/>
  <c r="BZ1665" s="1"/>
  <c r="Q384" i="52"/>
  <c r="Y780" i="50"/>
  <c r="AY780" s="1"/>
  <c r="BD615"/>
  <c r="N402" i="52"/>
  <c r="AV2020" i="50"/>
  <c r="BD1667"/>
  <c r="X626" i="52"/>
  <c r="AV1642" i="50"/>
  <c r="BC1046"/>
  <c r="Y915"/>
  <c r="AY915" s="1"/>
  <c r="BZ1169"/>
  <c r="Y1673"/>
  <c r="AY1673" s="1"/>
  <c r="N1656"/>
  <c r="BU1655" s="1"/>
  <c r="BE1723"/>
  <c r="N432" i="52"/>
  <c r="X432"/>
  <c r="BE1047" i="50"/>
  <c r="BD1048"/>
  <c r="Y1671"/>
  <c r="AY1671" s="1"/>
  <c r="Q605"/>
  <c r="R1340"/>
  <c r="BW1331" s="1"/>
  <c r="R1334"/>
  <c r="BV1331" s="1"/>
  <c r="BZ656"/>
  <c r="Y1669"/>
  <c r="AY1669" s="1"/>
  <c r="Q1199"/>
  <c r="N460" i="52"/>
  <c r="Q1737" i="50"/>
  <c r="Q1739"/>
  <c r="Q1736"/>
  <c r="AK1746"/>
  <c r="Q1745"/>
  <c r="BZ526"/>
  <c r="R530"/>
  <c r="BW521" s="1"/>
  <c r="BE1048"/>
  <c r="Q524"/>
  <c r="Q1043"/>
  <c r="BZ715"/>
  <c r="BZ720" s="1"/>
  <c r="AV1481"/>
  <c r="R1664"/>
  <c r="BW1655" s="1"/>
  <c r="BE588"/>
  <c r="AV1075"/>
  <c r="R1037"/>
  <c r="BV1034" s="1"/>
  <c r="AK1046"/>
  <c r="BZ1007"/>
  <c r="AG552" i="52"/>
  <c r="Y993" i="50"/>
  <c r="AY993" s="1"/>
  <c r="BC1829"/>
  <c r="BZ1930"/>
  <c r="BZ1935" s="1"/>
  <c r="BE643"/>
  <c r="AV1670"/>
  <c r="L139" i="58"/>
  <c r="BB122" s="1"/>
  <c r="L145"/>
  <c r="BF122" s="1"/>
  <c r="L144"/>
  <c r="N421" i="52"/>
  <c r="BZ1336" i="50"/>
  <c r="BZ1338" s="1"/>
  <c r="BZ1520"/>
  <c r="BZ1817"/>
  <c r="BZ1439"/>
  <c r="BD1019"/>
  <c r="R612"/>
  <c r="BX602" s="1"/>
  <c r="Q521"/>
  <c r="AV1643"/>
  <c r="AK2018"/>
  <c r="Q376" i="52"/>
  <c r="BD1046" i="50"/>
  <c r="Q1683"/>
  <c r="Q1691"/>
  <c r="X615" i="52"/>
  <c r="BZ1115" i="50"/>
  <c r="Q611"/>
  <c r="AK1640"/>
  <c r="Q1637"/>
  <c r="Q1631"/>
  <c r="R1638"/>
  <c r="BX1628" s="1"/>
  <c r="Q1629"/>
  <c r="BZ823"/>
  <c r="BZ828" s="1"/>
  <c r="BZ1871"/>
  <c r="Y531"/>
  <c r="AR531" s="1"/>
  <c r="N629"/>
  <c r="BT629" s="1"/>
  <c r="BZ1790"/>
  <c r="BZ1655"/>
  <c r="I165" i="58"/>
  <c r="L241"/>
  <c r="BF218" s="1"/>
  <c r="Q1226" i="50"/>
  <c r="BC533"/>
  <c r="Q2006"/>
  <c r="Y1670"/>
  <c r="AY1670" s="1"/>
  <c r="Y1074"/>
  <c r="AY1074" s="1"/>
  <c r="Y1075"/>
  <c r="AY1075" s="1"/>
  <c r="Y1079"/>
  <c r="AY1079" s="1"/>
  <c r="V131" i="38"/>
  <c r="V132"/>
  <c r="BD1208" i="50"/>
  <c r="R2015"/>
  <c r="BW2006" s="1"/>
  <c r="N1196"/>
  <c r="BT1196" s="1"/>
  <c r="X596" i="52"/>
  <c r="N596"/>
  <c r="Q233" i="50"/>
  <c r="Y2020"/>
  <c r="N225"/>
  <c r="BU224" s="1"/>
  <c r="V142" i="38"/>
  <c r="Y779" i="50"/>
  <c r="AY779" s="1"/>
  <c r="BD1236"/>
  <c r="BZ2011"/>
  <c r="BZ2016" s="1"/>
  <c r="BZ2026" s="1"/>
  <c r="F362" i="52"/>
  <c r="F410" s="1"/>
  <c r="F458" s="1"/>
  <c r="F506" s="1"/>
  <c r="F554" s="1"/>
  <c r="F602" s="1"/>
  <c r="F650" s="1"/>
  <c r="AC985" i="50"/>
  <c r="AC990" s="1"/>
  <c r="Y1453"/>
  <c r="AY1453" s="1"/>
  <c r="BD1372"/>
  <c r="AV211"/>
  <c r="N455" i="52"/>
  <c r="X455"/>
  <c r="X567"/>
  <c r="N567"/>
  <c r="Q684" i="50"/>
  <c r="V91" i="38"/>
  <c r="AV400" i="50"/>
  <c r="Y2024"/>
  <c r="AY2024" s="1"/>
  <c r="AC323" i="58"/>
  <c r="V133" i="38"/>
  <c r="BD1425" i="50"/>
  <c r="Y350"/>
  <c r="AY350" s="1"/>
  <c r="V106" i="38"/>
  <c r="V116"/>
  <c r="BC236" i="50"/>
  <c r="AK396"/>
  <c r="F367" i="52"/>
  <c r="F415"/>
  <c r="F463" s="1"/>
  <c r="F511" s="1"/>
  <c r="F559" s="1"/>
  <c r="F607" s="1"/>
  <c r="F655" s="1"/>
  <c r="N670"/>
  <c r="X670"/>
  <c r="N646"/>
  <c r="X646"/>
  <c r="X609"/>
  <c r="N609"/>
  <c r="X674"/>
  <c r="N674"/>
  <c r="AK355" i="58"/>
  <c r="M355" s="1"/>
  <c r="AA355"/>
  <c r="R389" i="50"/>
  <c r="BV386" s="1"/>
  <c r="BE1236"/>
  <c r="AC1444"/>
  <c r="Y1456"/>
  <c r="AY1456" s="1"/>
  <c r="N623" i="52"/>
  <c r="X623"/>
  <c r="N2007" i="50"/>
  <c r="BU2006" s="1"/>
  <c r="V115" i="38"/>
  <c r="V87"/>
  <c r="N463" i="52"/>
  <c r="BC1210" i="50"/>
  <c r="R342"/>
  <c r="BX332" s="1"/>
  <c r="L368" i="58"/>
  <c r="BE346" s="1"/>
  <c r="Y778" i="50"/>
  <c r="AY778" s="1"/>
  <c r="N578" i="52"/>
  <c r="BE1399" i="50"/>
  <c r="N574" i="52"/>
  <c r="X574"/>
  <c r="X678"/>
  <c r="N678"/>
  <c r="X498"/>
  <c r="N498"/>
  <c r="X518"/>
  <c r="N518"/>
  <c r="X603"/>
  <c r="N603"/>
  <c r="V130" i="38"/>
  <c r="Y672" i="50"/>
  <c r="AY672" s="1"/>
  <c r="N2006"/>
  <c r="BT2006" s="1"/>
  <c r="Y673"/>
  <c r="AY673" s="1"/>
  <c r="BE427"/>
  <c r="X611" i="52"/>
  <c r="N611"/>
  <c r="N632"/>
  <c r="X632"/>
  <c r="N608"/>
  <c r="X608"/>
  <c r="N474"/>
  <c r="X474"/>
  <c r="Q1854" i="50"/>
  <c r="BC1857"/>
  <c r="Q1847"/>
  <c r="AK1854"/>
  <c r="Q1853"/>
  <c r="Q1845"/>
  <c r="BE1858"/>
  <c r="Q1844"/>
  <c r="BE1857"/>
  <c r="BE1856"/>
  <c r="X529" i="52"/>
  <c r="BC1235" i="50"/>
  <c r="AC661"/>
  <c r="AC666" s="1"/>
  <c r="AE133" i="58"/>
  <c r="AW122" s="1"/>
  <c r="X610" i="52"/>
  <c r="R1394" i="50"/>
  <c r="BW1385" s="1"/>
  <c r="N387"/>
  <c r="BU386" s="1"/>
  <c r="N521" i="52"/>
  <c r="B34" i="57"/>
  <c r="E278" i="52"/>
  <c r="X516"/>
  <c r="N516"/>
  <c r="X651"/>
  <c r="N651"/>
  <c r="N573"/>
  <c r="X573"/>
  <c r="Q1223" i="50"/>
  <c r="Y671"/>
  <c r="AY671" s="1"/>
  <c r="V100" i="38"/>
  <c r="Y209" i="50"/>
  <c r="AY209" s="1"/>
  <c r="BE722"/>
  <c r="BD1399"/>
  <c r="X439" i="52"/>
  <c r="R258" i="58"/>
  <c r="R259" s="1"/>
  <c r="R261"/>
  <c r="R262" s="1"/>
  <c r="Y1615" i="50"/>
  <c r="AY1615" s="1"/>
  <c r="Y1614"/>
  <c r="AY1614" s="1"/>
  <c r="Y1617"/>
  <c r="AY1617" s="1"/>
  <c r="Y1613"/>
  <c r="AY1613" s="1"/>
  <c r="AC1606"/>
  <c r="X604" i="52"/>
  <c r="N604"/>
  <c r="N502"/>
  <c r="X502"/>
  <c r="Y2019" i="50"/>
  <c r="AY2019" s="1"/>
  <c r="N408" i="52"/>
  <c r="X408"/>
  <c r="R693" i="50"/>
  <c r="BX683" s="1"/>
  <c r="BE236"/>
  <c r="BD1237"/>
  <c r="Y674"/>
  <c r="AY674" s="1"/>
  <c r="Y1457"/>
  <c r="AY1457" s="1"/>
  <c r="BD1371"/>
  <c r="Y215"/>
  <c r="AY215" s="1"/>
  <c r="BD238"/>
  <c r="BE1398"/>
  <c r="BD1669"/>
  <c r="AV1831"/>
  <c r="AA291" i="58"/>
  <c r="AE291" s="1"/>
  <c r="AU282" s="1"/>
  <c r="X616" i="52"/>
  <c r="N630"/>
  <c r="X630"/>
  <c r="X679"/>
  <c r="N679"/>
  <c r="N682"/>
  <c r="X682"/>
  <c r="Y342" i="50"/>
  <c r="AR342" s="1"/>
  <c r="BH332" s="1"/>
  <c r="V145" i="38"/>
  <c r="N981" i="50"/>
  <c r="BU980" s="1"/>
  <c r="BC237"/>
  <c r="BD1398"/>
  <c r="BC1856"/>
  <c r="X570" i="52"/>
  <c r="N647"/>
  <c r="X524"/>
  <c r="N524"/>
  <c r="AV1804" i="50"/>
  <c r="AK294" i="58"/>
  <c r="M294" s="1"/>
  <c r="AA294"/>
  <c r="I294"/>
  <c r="N476" i="52"/>
  <c r="X476"/>
  <c r="Y2022" i="50"/>
  <c r="AY2022" s="1"/>
  <c r="BE1237"/>
  <c r="Y669"/>
  <c r="BZ1444"/>
  <c r="BZ1446" s="1"/>
  <c r="V89" i="38"/>
  <c r="BD1750" i="50"/>
  <c r="N458" i="52"/>
  <c r="Y998" i="50"/>
  <c r="AY998" s="1"/>
  <c r="Q224"/>
  <c r="AG515" i="52"/>
  <c r="I227" i="58"/>
  <c r="BE642" i="50"/>
  <c r="X569" i="52"/>
  <c r="N569"/>
  <c r="N471"/>
  <c r="X471"/>
  <c r="Y1587" i="50"/>
  <c r="AY1587" s="1"/>
  <c r="Y1584"/>
  <c r="Y1589"/>
  <c r="AY1589" s="1"/>
  <c r="Y1590"/>
  <c r="AY1590" s="1"/>
  <c r="Y1588"/>
  <c r="AY1588" s="1"/>
  <c r="AC1579"/>
  <c r="Y1586"/>
  <c r="AY1586" s="1"/>
  <c r="Y1592"/>
  <c r="AY1592" s="1"/>
  <c r="Y1591"/>
  <c r="AY1591" s="1"/>
  <c r="Q1232"/>
  <c r="R2016"/>
  <c r="BX2006" s="1"/>
  <c r="BD1235"/>
  <c r="Y1452"/>
  <c r="AY1452" s="1"/>
  <c r="R1043"/>
  <c r="BW1034" s="1"/>
  <c r="V128" i="38"/>
  <c r="BC1398" i="50"/>
  <c r="N554" i="52"/>
  <c r="BZ985" i="50"/>
  <c r="BZ990" s="1"/>
  <c r="AK236"/>
  <c r="Y1214"/>
  <c r="AY1214" s="1"/>
  <c r="AA227" i="58"/>
  <c r="N571" i="52"/>
  <c r="N466"/>
  <c r="X489"/>
  <c r="N489"/>
  <c r="X414"/>
  <c r="N414"/>
  <c r="X676"/>
  <c r="N676"/>
  <c r="X506"/>
  <c r="N506"/>
  <c r="X662"/>
  <c r="N662"/>
  <c r="F372"/>
  <c r="F420" s="1"/>
  <c r="F468" s="1"/>
  <c r="F516" s="1"/>
  <c r="F564" s="1"/>
  <c r="F612" s="1"/>
  <c r="F660" s="1"/>
  <c r="F374"/>
  <c r="F422" s="1"/>
  <c r="F470" s="1"/>
  <c r="F518" s="1"/>
  <c r="F566" s="1"/>
  <c r="F614" s="1"/>
  <c r="F662" s="1"/>
  <c r="F373"/>
  <c r="F421" s="1"/>
  <c r="F469" s="1"/>
  <c r="F517" s="1"/>
  <c r="F565" s="1"/>
  <c r="F613" s="1"/>
  <c r="F661" s="1"/>
  <c r="F376"/>
  <c r="F424"/>
  <c r="F472" s="1"/>
  <c r="F520" s="1"/>
  <c r="F568" s="1"/>
  <c r="F616" s="1"/>
  <c r="F664" s="1"/>
  <c r="F379"/>
  <c r="F427" s="1"/>
  <c r="F475" s="1"/>
  <c r="F523" s="1"/>
  <c r="F571" s="1"/>
  <c r="F619" s="1"/>
  <c r="F667" s="1"/>
  <c r="F406"/>
  <c r="F454" s="1"/>
  <c r="F502" s="1"/>
  <c r="F550" s="1"/>
  <c r="F598" s="1"/>
  <c r="F646" s="1"/>
  <c r="F389"/>
  <c r="F437" s="1"/>
  <c r="F485" s="1"/>
  <c r="F533" s="1"/>
  <c r="F581" s="1"/>
  <c r="F629" s="1"/>
  <c r="F677" s="1"/>
  <c r="F359"/>
  <c r="F407" s="1"/>
  <c r="F455" s="1"/>
  <c r="F503" s="1"/>
  <c r="F551" s="1"/>
  <c r="F599" s="1"/>
  <c r="F647" s="1"/>
  <c r="F378"/>
  <c r="F426"/>
  <c r="F474" s="1"/>
  <c r="F522" s="1"/>
  <c r="F570" s="1"/>
  <c r="F618" s="1"/>
  <c r="F666" s="1"/>
  <c r="F370"/>
  <c r="F418" s="1"/>
  <c r="F466" s="1"/>
  <c r="F514" s="1"/>
  <c r="F562" s="1"/>
  <c r="F610" s="1"/>
  <c r="F658" s="1"/>
  <c r="F382"/>
  <c r="F430" s="1"/>
  <c r="F478" s="1"/>
  <c r="F526" s="1"/>
  <c r="F574" s="1"/>
  <c r="F622" s="1"/>
  <c r="F670" s="1"/>
  <c r="Q342" i="50"/>
  <c r="BZ661"/>
  <c r="BZ663" s="1"/>
  <c r="Y1455"/>
  <c r="AY1455" s="1"/>
  <c r="Y2023"/>
  <c r="AY2023" s="1"/>
  <c r="R261"/>
  <c r="BX251" s="1"/>
  <c r="BC1236"/>
  <c r="Y1454"/>
  <c r="AY1454" s="1"/>
  <c r="N630"/>
  <c r="BU629" s="1"/>
  <c r="W1969"/>
  <c r="V88" i="38"/>
  <c r="V99"/>
  <c r="N475" i="52"/>
  <c r="BD236" i="50"/>
  <c r="Y1209"/>
  <c r="AY1209" s="1"/>
  <c r="N607" i="52"/>
  <c r="X556"/>
  <c r="BD1776" i="50"/>
  <c r="BD399"/>
  <c r="F381" i="52"/>
  <c r="F429" s="1"/>
  <c r="F477" s="1"/>
  <c r="F525" s="1"/>
  <c r="F573" s="1"/>
  <c r="F621" s="1"/>
  <c r="F669" s="1"/>
  <c r="BD292" i="50"/>
  <c r="BD1857"/>
  <c r="N436" i="52"/>
  <c r="X436"/>
  <c r="X641"/>
  <c r="N641"/>
  <c r="X509"/>
  <c r="N509"/>
  <c r="BD1722" i="50"/>
  <c r="X681" i="52"/>
  <c r="N681"/>
  <c r="Q1233" i="50"/>
  <c r="W1970"/>
  <c r="BE399"/>
  <c r="N675" i="52"/>
  <c r="X675"/>
  <c r="N461"/>
  <c r="X461"/>
  <c r="X551"/>
  <c r="N551"/>
  <c r="BE425" i="50"/>
  <c r="Q1224"/>
  <c r="G216" i="38"/>
  <c r="R632" i="50"/>
  <c r="BV629" s="1"/>
  <c r="V93" i="38"/>
  <c r="N601" i="52"/>
  <c r="Q227" i="50"/>
  <c r="AC259" i="58"/>
  <c r="C552" i="52"/>
  <c r="O552" s="1"/>
  <c r="Q552" s="1"/>
  <c r="BD1262" i="50"/>
  <c r="BD1264"/>
  <c r="X633" i="52"/>
  <c r="N633"/>
  <c r="N614"/>
  <c r="X614"/>
  <c r="N656"/>
  <c r="X656"/>
  <c r="AP292" i="58"/>
  <c r="AP294" s="1"/>
  <c r="AP293"/>
  <c r="H467" i="52"/>
  <c r="H486"/>
  <c r="V92" i="38"/>
  <c r="X650" i="52"/>
  <c r="N650"/>
  <c r="Q1016" i="50"/>
  <c r="N612" i="52"/>
  <c r="Q416" i="50"/>
  <c r="F297" i="52"/>
  <c r="R1854" i="50"/>
  <c r="BX1844" s="1"/>
  <c r="AE259" i="58"/>
  <c r="AU250" s="1"/>
  <c r="Q1205" i="50"/>
  <c r="AV319"/>
  <c r="B405" i="52"/>
  <c r="B453" s="1"/>
  <c r="B501" s="1"/>
  <c r="B549" s="1"/>
  <c r="B597" s="1"/>
  <c r="B645" s="1"/>
  <c r="X572"/>
  <c r="N520"/>
  <c r="AV76" i="50"/>
  <c r="X565" i="52"/>
  <c r="N565"/>
  <c r="X585"/>
  <c r="N585"/>
  <c r="X649"/>
  <c r="N649"/>
  <c r="X613"/>
  <c r="N613"/>
  <c r="Q1413" i="50"/>
  <c r="V101" i="38"/>
  <c r="AK234" i="50"/>
  <c r="Q629"/>
  <c r="Q639"/>
  <c r="Q632"/>
  <c r="Q630"/>
  <c r="BC643"/>
  <c r="Q638"/>
  <c r="AK641"/>
  <c r="AK639"/>
  <c r="BE1020"/>
  <c r="Y2018"/>
  <c r="AY2018" s="1"/>
  <c r="B52" i="57"/>
  <c r="Q1206" i="50"/>
  <c r="N602" i="52"/>
  <c r="X602"/>
  <c r="N533"/>
  <c r="X533"/>
  <c r="X629"/>
  <c r="N629"/>
  <c r="BD1748" i="50"/>
  <c r="X680" i="52"/>
  <c r="N680"/>
  <c r="Q1010" i="50"/>
  <c r="O419" i="52"/>
  <c r="Q419"/>
  <c r="R233" i="50"/>
  <c r="BW224" s="1"/>
  <c r="V129" i="38"/>
  <c r="BC1020" i="50"/>
  <c r="R1853"/>
  <c r="BW1844" s="1"/>
  <c r="N980"/>
  <c r="BT980" s="1"/>
  <c r="BD1210"/>
  <c r="AV184"/>
  <c r="BC507"/>
  <c r="X538" i="52"/>
  <c r="Y396" i="50"/>
  <c r="Y404"/>
  <c r="AY404" s="1"/>
  <c r="N419" i="52"/>
  <c r="X419"/>
  <c r="R1205" i="50"/>
  <c r="BW1196" s="1"/>
  <c r="Q389"/>
  <c r="Q387"/>
  <c r="Q386"/>
  <c r="N386"/>
  <c r="BT386" s="1"/>
  <c r="BE398"/>
  <c r="Q396"/>
  <c r="BD398"/>
  <c r="R396"/>
  <c r="BX386" s="1"/>
  <c r="AK398"/>
  <c r="Q395"/>
  <c r="X479" i="52"/>
  <c r="N479"/>
  <c r="N224" i="50"/>
  <c r="BT224" s="1"/>
  <c r="V79" i="38"/>
  <c r="Y2016" i="50"/>
  <c r="AR2016" s="1"/>
  <c r="BH2006" s="1"/>
  <c r="N1385"/>
  <c r="BT1385" s="1"/>
  <c r="AV428"/>
  <c r="R1206"/>
  <c r="BX1196" s="1"/>
  <c r="BD400"/>
  <c r="N490" i="52"/>
  <c r="X490"/>
  <c r="X469"/>
  <c r="N469"/>
  <c r="N642"/>
  <c r="X642"/>
  <c r="AE288" i="58"/>
  <c r="W296"/>
  <c r="G131" i="62"/>
  <c r="H131"/>
  <c r="AC1095" i="50"/>
  <c r="R395"/>
  <c r="BW386" s="1"/>
  <c r="X643" i="52"/>
  <c r="AK1208" i="50"/>
  <c r="X440" i="52"/>
  <c r="N564"/>
  <c r="X564"/>
  <c r="N499"/>
  <c r="X499"/>
  <c r="X627"/>
  <c r="N627"/>
  <c r="Y668" i="50"/>
  <c r="AY668" s="1"/>
  <c r="AE323" i="58"/>
  <c r="AU314" s="1"/>
  <c r="Y670" i="50"/>
  <c r="AY670" s="1"/>
  <c r="Y774"/>
  <c r="AR774" s="1"/>
  <c r="BH764" s="1"/>
  <c r="F383" i="52"/>
  <c r="F431" s="1"/>
  <c r="F479" s="1"/>
  <c r="F527" s="1"/>
  <c r="F575" s="1"/>
  <c r="F623" s="1"/>
  <c r="F671" s="1"/>
  <c r="AV185" i="50"/>
  <c r="X454" i="52"/>
  <c r="N606"/>
  <c r="AV860" i="50"/>
  <c r="N477" i="52"/>
  <c r="X477"/>
  <c r="N550"/>
  <c r="X550"/>
  <c r="Q1827" i="50"/>
  <c r="C484" i="52"/>
  <c r="C532" s="1"/>
  <c r="I322" i="58"/>
  <c r="AK322"/>
  <c r="M322" s="1"/>
  <c r="AA322"/>
  <c r="Y751" i="50"/>
  <c r="AY751" s="1"/>
  <c r="Y747"/>
  <c r="BD1965"/>
  <c r="BD1964"/>
  <c r="BD1966"/>
  <c r="E286" i="52"/>
  <c r="Q380"/>
  <c r="G209" i="38"/>
  <c r="B45" i="57"/>
  <c r="R936" i="50"/>
  <c r="BX926" s="1"/>
  <c r="Q936"/>
  <c r="AK938"/>
  <c r="Q935"/>
  <c r="Q927"/>
  <c r="Q926"/>
  <c r="AK936"/>
  <c r="R929"/>
  <c r="BV926" s="1"/>
  <c r="N926"/>
  <c r="BT926" s="1"/>
  <c r="Q929"/>
  <c r="R935"/>
  <c r="BW926" s="1"/>
  <c r="Q422"/>
  <c r="AC499"/>
  <c r="AC504" s="1"/>
  <c r="BZ337"/>
  <c r="V114" i="38"/>
  <c r="V124"/>
  <c r="AV2074" i="50"/>
  <c r="N305"/>
  <c r="BT305" s="1"/>
  <c r="Q1817"/>
  <c r="AV130"/>
  <c r="AV1210"/>
  <c r="C476" i="52"/>
  <c r="O428"/>
  <c r="Q428"/>
  <c r="BD562" i="50"/>
  <c r="Q549"/>
  <c r="R1799"/>
  <c r="BW1790" s="1"/>
  <c r="BE1802"/>
  <c r="Q423"/>
  <c r="Y507"/>
  <c r="AY507" s="1"/>
  <c r="AC337"/>
  <c r="AC339" s="1"/>
  <c r="N1790"/>
  <c r="BT1790" s="1"/>
  <c r="V120" i="38"/>
  <c r="V105"/>
  <c r="V103"/>
  <c r="BZ742" i="50"/>
  <c r="BZ747" s="1"/>
  <c r="N170"/>
  <c r="BT170" s="1"/>
  <c r="BC1425"/>
  <c r="Q306"/>
  <c r="BC1289"/>
  <c r="BZ769"/>
  <c r="AK1827"/>
  <c r="N531" i="52"/>
  <c r="I166" i="58"/>
  <c r="AA166"/>
  <c r="BE724" i="50"/>
  <c r="BE2018"/>
  <c r="Q2016"/>
  <c r="Q2009"/>
  <c r="Q2007"/>
  <c r="BE2020"/>
  <c r="Y1805"/>
  <c r="AY1805" s="1"/>
  <c r="Y1803"/>
  <c r="AY1803" s="1"/>
  <c r="Y1804"/>
  <c r="AY1804" s="1"/>
  <c r="Y1807"/>
  <c r="AY1807" s="1"/>
  <c r="Y1802"/>
  <c r="AY1802" s="1"/>
  <c r="Y506"/>
  <c r="AY506" s="1"/>
  <c r="BE1235"/>
  <c r="Y348"/>
  <c r="AY348" s="1"/>
  <c r="BC1803"/>
  <c r="V98" i="38"/>
  <c r="V137"/>
  <c r="BD1830" i="50"/>
  <c r="N900"/>
  <c r="BU899" s="1"/>
  <c r="Y914"/>
  <c r="Y917"/>
  <c r="AY917" s="1"/>
  <c r="Y911"/>
  <c r="AC904"/>
  <c r="Y912"/>
  <c r="AK1773"/>
  <c r="Q1772"/>
  <c r="BC1777"/>
  <c r="BE1775"/>
  <c r="Q1773"/>
  <c r="Q1766"/>
  <c r="BE1777"/>
  <c r="AK1775"/>
  <c r="Q1764"/>
  <c r="Q1763"/>
  <c r="N737"/>
  <c r="BT737" s="1"/>
  <c r="BD1695"/>
  <c r="B425" i="52"/>
  <c r="B473" s="1"/>
  <c r="B521" s="1"/>
  <c r="B569" s="1"/>
  <c r="B617" s="1"/>
  <c r="B665" s="1"/>
  <c r="B378"/>
  <c r="B426" s="1"/>
  <c r="B474" s="1"/>
  <c r="B522" s="1"/>
  <c r="B570" s="1"/>
  <c r="B618" s="1"/>
  <c r="B666" s="1"/>
  <c r="AG652"/>
  <c r="Q1826" i="50"/>
  <c r="BE939"/>
  <c r="N555" i="52"/>
  <c r="AK1800" i="50"/>
  <c r="V80" i="38"/>
  <c r="V127"/>
  <c r="V122"/>
  <c r="V143"/>
  <c r="V78"/>
  <c r="BD1156" i="50"/>
  <c r="Y754"/>
  <c r="AY754" s="1"/>
  <c r="AK1395"/>
  <c r="N433" i="52"/>
  <c r="Q557" i="50"/>
  <c r="I136" i="58"/>
  <c r="AY1967" i="50"/>
  <c r="AP132" i="58"/>
  <c r="AP134" s="1"/>
  <c r="Y992" i="50"/>
  <c r="AY992" s="1"/>
  <c r="Y994"/>
  <c r="AY994" s="1"/>
  <c r="Y997"/>
  <c r="AY997" s="1"/>
  <c r="Y996"/>
  <c r="AY996" s="1"/>
  <c r="AC742"/>
  <c r="AC744" s="1"/>
  <c r="BD1829"/>
  <c r="N548"/>
  <c r="BT548" s="1"/>
  <c r="AK136" i="58"/>
  <c r="N403" i="52"/>
  <c r="Q1793" i="50"/>
  <c r="AG453" i="52"/>
  <c r="V121" i="38"/>
  <c r="R1151" i="50"/>
  <c r="BW1142" s="1"/>
  <c r="BC1802"/>
  <c r="BD940"/>
  <c r="BE938"/>
  <c r="BC751"/>
  <c r="Y755"/>
  <c r="AY755" s="1"/>
  <c r="AG512" i="52"/>
  <c r="M1962" i="50"/>
  <c r="R551"/>
  <c r="BV548" s="1"/>
  <c r="BE695"/>
  <c r="AO100" i="58"/>
  <c r="AO102" s="1"/>
  <c r="AO101"/>
  <c r="BE1669" i="50"/>
  <c r="R531"/>
  <c r="BX521" s="1"/>
  <c r="Q530"/>
  <c r="Q531"/>
  <c r="N522"/>
  <c r="BU521" s="1"/>
  <c r="AK531"/>
  <c r="BD534"/>
  <c r="R524"/>
  <c r="BV521" s="1"/>
  <c r="N521"/>
  <c r="BT521" s="1"/>
  <c r="BD1641"/>
  <c r="BD1640"/>
  <c r="BC318"/>
  <c r="V71" i="38"/>
  <c r="N405" i="52"/>
  <c r="AO132" i="58"/>
  <c r="AO134" s="1"/>
  <c r="AO133"/>
  <c r="R341" i="50"/>
  <c r="BW332" s="1"/>
  <c r="Q1799"/>
  <c r="V81" i="38"/>
  <c r="V117"/>
  <c r="V123"/>
  <c r="V138"/>
  <c r="AV1912" i="50"/>
  <c r="AG677" i="52"/>
  <c r="BD1426" i="50"/>
  <c r="BE940"/>
  <c r="AO227" i="58"/>
  <c r="AO229" s="1"/>
  <c r="R740" i="50"/>
  <c r="BV737" s="1"/>
  <c r="AG536" i="52"/>
  <c r="Q1395" i="50"/>
  <c r="N252"/>
  <c r="BU251" s="1"/>
  <c r="AG576" i="52"/>
  <c r="AK558" i="50"/>
  <c r="I229" i="58"/>
  <c r="BE697" i="50"/>
  <c r="BE1748"/>
  <c r="BE1750"/>
  <c r="BD1343"/>
  <c r="BD1344"/>
  <c r="Q902"/>
  <c r="BE913"/>
  <c r="BE911"/>
  <c r="Q899"/>
  <c r="BC913"/>
  <c r="BD913"/>
  <c r="Q909"/>
  <c r="Q908"/>
  <c r="BC911"/>
  <c r="Q900"/>
  <c r="N899"/>
  <c r="BT899" s="1"/>
  <c r="BD912"/>
  <c r="R908"/>
  <c r="BW899" s="1"/>
  <c r="AK909"/>
  <c r="BD911"/>
  <c r="BC912"/>
  <c r="AK911"/>
  <c r="BE238"/>
  <c r="N332"/>
  <c r="BT332" s="1"/>
  <c r="BE1803"/>
  <c r="Q1791"/>
  <c r="V85" i="38"/>
  <c r="V84"/>
  <c r="V102"/>
  <c r="V119"/>
  <c r="V135"/>
  <c r="N495" i="50"/>
  <c r="BU494" s="1"/>
  <c r="C355" i="52"/>
  <c r="O355" s="1"/>
  <c r="AP227" i="58"/>
  <c r="AP229" s="1"/>
  <c r="N738" i="50"/>
  <c r="BU737" s="1"/>
  <c r="Q1394"/>
  <c r="BE561"/>
  <c r="BD695"/>
  <c r="AK229" i="58"/>
  <c r="M229" s="1"/>
  <c r="BD696" i="50"/>
  <c r="BD1642"/>
  <c r="N577" i="52"/>
  <c r="O411"/>
  <c r="Q411" s="1"/>
  <c r="AG658"/>
  <c r="BD938" i="50"/>
  <c r="BD1154"/>
  <c r="Y188"/>
  <c r="AY188" s="1"/>
  <c r="N494"/>
  <c r="BT494" s="1"/>
  <c r="BD344"/>
  <c r="V83" i="38"/>
  <c r="V104"/>
  <c r="V141"/>
  <c r="C402" i="52"/>
  <c r="O402"/>
  <c r="Q402" s="1"/>
  <c r="R747" i="50"/>
  <c r="BX737" s="1"/>
  <c r="Q1385"/>
  <c r="AG584" i="52"/>
  <c r="R557" i="50"/>
  <c r="BW548" s="1"/>
  <c r="R902"/>
  <c r="BV899" s="1"/>
  <c r="R909"/>
  <c r="BX899" s="1"/>
  <c r="BD697"/>
  <c r="Q683"/>
  <c r="N582" i="52"/>
  <c r="Y186" i="50"/>
  <c r="AY186" s="1"/>
  <c r="Q333"/>
  <c r="V77" i="38"/>
  <c r="V144"/>
  <c r="V112"/>
  <c r="AK695" i="50"/>
  <c r="Y750"/>
  <c r="AY750" s="1"/>
  <c r="N1386"/>
  <c r="BU1385" s="1"/>
  <c r="BD561"/>
  <c r="Q686"/>
  <c r="AA327" i="58"/>
  <c r="AK327"/>
  <c r="O364" i="52"/>
  <c r="C412"/>
  <c r="C365"/>
  <c r="N580"/>
  <c r="BZ175" i="50"/>
  <c r="BZ180" s="1"/>
  <c r="Q332"/>
  <c r="V76" i="38"/>
  <c r="V107"/>
  <c r="V125"/>
  <c r="V94"/>
  <c r="AV346" i="50"/>
  <c r="Y753"/>
  <c r="AY753" s="1"/>
  <c r="Q558"/>
  <c r="AY1970"/>
  <c r="Q693"/>
  <c r="BE1668"/>
  <c r="BE912"/>
  <c r="N584" i="52"/>
  <c r="BE346" i="50"/>
  <c r="V134" i="38"/>
  <c r="V90"/>
  <c r="V110"/>
  <c r="BC317" i="50"/>
  <c r="AG535" i="52"/>
  <c r="BD560" i="50"/>
  <c r="BD1803"/>
  <c r="Q692"/>
  <c r="BE831"/>
  <c r="BE830"/>
  <c r="BE832"/>
  <c r="R322" i="58"/>
  <c r="R323" s="1"/>
  <c r="R325"/>
  <c r="R326" s="1"/>
  <c r="Q989" i="50"/>
  <c r="Q990"/>
  <c r="Q980"/>
  <c r="BC994"/>
  <c r="BC993"/>
  <c r="Q981"/>
  <c r="BC992"/>
  <c r="Q983"/>
  <c r="AK990"/>
  <c r="BD993"/>
  <c r="BD992"/>
  <c r="BE992"/>
  <c r="BE994"/>
  <c r="V140" i="38"/>
  <c r="R335" i="50"/>
  <c r="BV332" s="1"/>
  <c r="V126" i="38"/>
  <c r="AG547" i="52"/>
  <c r="BE560" i="50"/>
  <c r="BD1802"/>
  <c r="AV1750"/>
  <c r="Y213"/>
  <c r="AC202"/>
  <c r="Y211"/>
  <c r="AY211" s="1"/>
  <c r="Y212"/>
  <c r="AY212" s="1"/>
  <c r="Y214"/>
  <c r="AY214" s="1"/>
  <c r="Y207"/>
  <c r="AV779"/>
  <c r="V74" i="38"/>
  <c r="V109"/>
  <c r="V97"/>
  <c r="V108"/>
  <c r="AK315" i="50"/>
  <c r="R558"/>
  <c r="BX548" s="1"/>
  <c r="Q548"/>
  <c r="BD1804"/>
  <c r="Q1790"/>
  <c r="Q1197"/>
  <c r="BE1208"/>
  <c r="BE1209"/>
  <c r="R1199"/>
  <c r="BV1196" s="1"/>
  <c r="N1197"/>
  <c r="BU1196" s="1"/>
  <c r="BE1210"/>
  <c r="Q1196"/>
  <c r="BC1831"/>
  <c r="N558" i="52"/>
  <c r="N576"/>
  <c r="Q335" i="50"/>
  <c r="V95" i="38"/>
  <c r="V113"/>
  <c r="AK317" i="50"/>
  <c r="AV968"/>
  <c r="N927"/>
  <c r="BU926" s="1"/>
  <c r="N459" i="52"/>
  <c r="Y942" i="50"/>
  <c r="Y936"/>
  <c r="Y941"/>
  <c r="AC931"/>
  <c r="Y943"/>
  <c r="Y938"/>
  <c r="Y939"/>
  <c r="Y940"/>
  <c r="BD939"/>
  <c r="N547" i="52"/>
  <c r="V136" i="38"/>
  <c r="V86"/>
  <c r="BD319" i="50"/>
  <c r="Y944"/>
  <c r="Y1211"/>
  <c r="AY1211" s="1"/>
  <c r="Y1212"/>
  <c r="AY1212" s="1"/>
  <c r="AC1201"/>
  <c r="Y1210"/>
  <c r="AY1210" s="1"/>
  <c r="Y1206"/>
  <c r="Y1213"/>
  <c r="AY1213" s="1"/>
  <c r="V75" i="38"/>
  <c r="V82"/>
  <c r="V118"/>
  <c r="BD317" i="50"/>
  <c r="AV1346"/>
  <c r="AV752"/>
  <c r="V111" i="38"/>
  <c r="V96"/>
  <c r="V139"/>
  <c r="BC966" i="50"/>
  <c r="BE696"/>
  <c r="BD641"/>
  <c r="BD642"/>
  <c r="AV914"/>
  <c r="AV1723"/>
  <c r="AV1400"/>
  <c r="Q441"/>
  <c r="N440"/>
  <c r="BT440" s="1"/>
  <c r="Q449"/>
  <c r="Q443"/>
  <c r="AK450"/>
  <c r="BD452"/>
  <c r="BE452"/>
  <c r="N441"/>
  <c r="BU440" s="1"/>
  <c r="AL127" i="46"/>
  <c r="O370" i="52"/>
  <c r="F278"/>
  <c r="AG504"/>
  <c r="AV401" i="50"/>
  <c r="Y1940"/>
  <c r="AY1940" s="1"/>
  <c r="E276" i="52"/>
  <c r="B28" i="57"/>
  <c r="Q363" i="52"/>
  <c r="G192" i="38"/>
  <c r="AK1233" i="50"/>
  <c r="AK1235"/>
  <c r="R1421"/>
  <c r="BW1412" s="1"/>
  <c r="AK1422"/>
  <c r="R1415"/>
  <c r="BV1412" s="1"/>
  <c r="N1412"/>
  <c r="BT1412" s="1"/>
  <c r="BE1424"/>
  <c r="N1413"/>
  <c r="BU1412" s="1"/>
  <c r="R1422"/>
  <c r="BX1412" s="1"/>
  <c r="Q1415"/>
  <c r="BD1424"/>
  <c r="Q1422"/>
  <c r="BE1425"/>
  <c r="AK1424"/>
  <c r="Q1412"/>
  <c r="BE1426"/>
  <c r="AL170" i="46"/>
  <c r="AL165" s="1"/>
  <c r="AL166" s="1"/>
  <c r="AL267"/>
  <c r="AG595" i="52"/>
  <c r="AG558"/>
  <c r="Q1388" i="50"/>
  <c r="BD1397"/>
  <c r="AK1397"/>
  <c r="R1388"/>
  <c r="BV1385" s="1"/>
  <c r="Q1386"/>
  <c r="AC1417"/>
  <c r="Y1425"/>
  <c r="Y1426"/>
  <c r="Y1428"/>
  <c r="Y1422"/>
  <c r="Y1430"/>
  <c r="AY1430" s="1"/>
  <c r="Y1424"/>
  <c r="Y1429"/>
  <c r="AY1429" s="1"/>
  <c r="Y1427"/>
  <c r="Y241"/>
  <c r="AY241" s="1"/>
  <c r="Y237"/>
  <c r="Y234"/>
  <c r="Y240"/>
  <c r="Y239"/>
  <c r="AY239" s="1"/>
  <c r="AY1265"/>
  <c r="B406" i="52"/>
  <c r="B454" s="1"/>
  <c r="B502" s="1"/>
  <c r="B550" s="1"/>
  <c r="B598" s="1"/>
  <c r="B646" s="1"/>
  <c r="B359"/>
  <c r="B407" s="1"/>
  <c r="B455" s="1"/>
  <c r="B503" s="1"/>
  <c r="B551" s="1"/>
  <c r="B599" s="1"/>
  <c r="B647" s="1"/>
  <c r="Y454" i="50"/>
  <c r="Y453"/>
  <c r="AY453" s="1"/>
  <c r="Y457"/>
  <c r="AY457" s="1"/>
  <c r="Y456"/>
  <c r="Y452"/>
  <c r="AY452" s="1"/>
  <c r="AL162" i="46"/>
  <c r="AV616" i="50"/>
  <c r="AV1696"/>
  <c r="Y1403"/>
  <c r="Y1401"/>
  <c r="Y1400"/>
  <c r="Y1399"/>
  <c r="AC1390"/>
  <c r="Y1395"/>
  <c r="Y1402"/>
  <c r="Y1397"/>
  <c r="Y1398"/>
  <c r="AV589"/>
  <c r="R692"/>
  <c r="BW683" s="1"/>
  <c r="M909"/>
  <c r="O432" i="52"/>
  <c r="Q432" s="1"/>
  <c r="O371"/>
  <c r="B36" i="57" s="1"/>
  <c r="R497" i="50"/>
  <c r="BV494" s="1"/>
  <c r="R504"/>
  <c r="BX494" s="1"/>
  <c r="Q494"/>
  <c r="Q503"/>
  <c r="Q495"/>
  <c r="Q504"/>
  <c r="BE507"/>
  <c r="Q497"/>
  <c r="AK504"/>
  <c r="AK506"/>
  <c r="BD506"/>
  <c r="R227"/>
  <c r="BV224" s="1"/>
  <c r="BD237"/>
  <c r="Q234"/>
  <c r="AY1263"/>
  <c r="R686"/>
  <c r="BV683" s="1"/>
  <c r="AV1589"/>
  <c r="BC1399"/>
  <c r="AV1939"/>
  <c r="AG434" i="52"/>
  <c r="N549"/>
  <c r="O473"/>
  <c r="Q473" s="1"/>
  <c r="C521"/>
  <c r="AV1534" i="50"/>
  <c r="AG594" i="52"/>
  <c r="AG583"/>
  <c r="AG403"/>
  <c r="AG548"/>
  <c r="G182" i="38"/>
  <c r="B18" i="57"/>
  <c r="Q353" i="52"/>
  <c r="Y319" i="50"/>
  <c r="Y321"/>
  <c r="Y323"/>
  <c r="Y317"/>
  <c r="Y322"/>
  <c r="Y318"/>
  <c r="AC310"/>
  <c r="Y315"/>
  <c r="Y320"/>
  <c r="N765"/>
  <c r="BU764" s="1"/>
  <c r="Q767"/>
  <c r="BE777"/>
  <c r="Q773"/>
  <c r="BE776"/>
  <c r="R774"/>
  <c r="BX764" s="1"/>
  <c r="R767"/>
  <c r="BV764" s="1"/>
  <c r="BD777"/>
  <c r="BD776"/>
  <c r="Q764"/>
  <c r="N764"/>
  <c r="BT764" s="1"/>
  <c r="Q774"/>
  <c r="AK776"/>
  <c r="AY916"/>
  <c r="AR1260"/>
  <c r="BH1250" s="1"/>
  <c r="M1260"/>
  <c r="AG433" i="52"/>
  <c r="BE319" i="50"/>
  <c r="N306"/>
  <c r="BU305" s="1"/>
  <c r="BE318"/>
  <c r="Q305"/>
  <c r="BE317"/>
  <c r="Q315"/>
  <c r="R308"/>
  <c r="BV305" s="1"/>
  <c r="Q308"/>
  <c r="R315"/>
  <c r="BX305" s="1"/>
  <c r="Y510"/>
  <c r="AY510" s="1"/>
  <c r="Y511"/>
  <c r="AY511" s="1"/>
  <c r="Y509"/>
  <c r="AY509" s="1"/>
  <c r="Y504"/>
  <c r="AY1262"/>
  <c r="N1925"/>
  <c r="BT1925" s="1"/>
  <c r="B37" i="57"/>
  <c r="Q372" i="52"/>
  <c r="G201" i="38"/>
  <c r="E283" i="52"/>
  <c r="Y781" i="50"/>
  <c r="AC769"/>
  <c r="I231" i="58"/>
  <c r="AK231"/>
  <c r="AA231"/>
  <c r="B42" i="57"/>
  <c r="F284" i="52"/>
  <c r="G206" i="38"/>
  <c r="AC1257" i="50"/>
  <c r="AC1260"/>
  <c r="AC1262" s="1"/>
  <c r="R1935"/>
  <c r="BX1925" s="1"/>
  <c r="AV104"/>
  <c r="N536" i="52"/>
  <c r="AV1399" i="50"/>
  <c r="Q2033"/>
  <c r="BD2047"/>
  <c r="Q2034"/>
  <c r="BD2045"/>
  <c r="BE2046"/>
  <c r="AK2043"/>
  <c r="AV77"/>
  <c r="AG534" i="52"/>
  <c r="AV697" i="50"/>
  <c r="AA354" i="58"/>
  <c r="I354"/>
  <c r="AK354"/>
  <c r="M354" s="1"/>
  <c r="AC1797" i="50"/>
  <c r="AC1800"/>
  <c r="I359" i="58"/>
  <c r="AK359"/>
  <c r="AA359"/>
  <c r="N534" i="52"/>
  <c r="AG553"/>
  <c r="Y701" i="50"/>
  <c r="AY701" s="1"/>
  <c r="Y697"/>
  <c r="Y693"/>
  <c r="AC688"/>
  <c r="Y700"/>
  <c r="Y699"/>
  <c r="AY699" s="1"/>
  <c r="Y696"/>
  <c r="AY696" s="1"/>
  <c r="Y695"/>
  <c r="Y698"/>
  <c r="AY698" s="1"/>
  <c r="N683"/>
  <c r="BT683" s="1"/>
  <c r="AY562"/>
  <c r="AC445"/>
  <c r="AC447" s="1"/>
  <c r="Y1937"/>
  <c r="AY1937" s="1"/>
  <c r="AA99" i="58"/>
  <c r="I99"/>
  <c r="BD346" i="50"/>
  <c r="BD345"/>
  <c r="N333"/>
  <c r="BU332" s="1"/>
  <c r="Q341"/>
  <c r="AK344"/>
  <c r="AK342"/>
  <c r="BE344"/>
  <c r="C426" i="52"/>
  <c r="O378"/>
  <c r="N1547" i="50"/>
  <c r="BT1547" s="1"/>
  <c r="Q1550"/>
  <c r="N1548"/>
  <c r="BU1547" s="1"/>
  <c r="BC1561"/>
  <c r="BE1559"/>
  <c r="BC1560"/>
  <c r="BC1559"/>
  <c r="BE1561"/>
  <c r="BD1561"/>
  <c r="Q1557"/>
  <c r="Y455"/>
  <c r="AY455" s="1"/>
  <c r="Y1941"/>
  <c r="AY1941" s="1"/>
  <c r="AK98" i="58"/>
  <c r="M98" s="1"/>
  <c r="AA98"/>
  <c r="AR1098" i="50"/>
  <c r="BH1088" s="1"/>
  <c r="M1098"/>
  <c r="AC1341"/>
  <c r="R98" i="58"/>
  <c r="R99" s="1"/>
  <c r="Y450" i="50"/>
  <c r="M450" s="1"/>
  <c r="N1926"/>
  <c r="BU1925" s="1"/>
  <c r="N510" i="52"/>
  <c r="AR828" i="50"/>
  <c r="BH818" s="1"/>
  <c r="K148" i="38"/>
  <c r="AB156"/>
  <c r="AB157" s="1"/>
  <c r="AB158" s="1"/>
  <c r="AB159" s="1"/>
  <c r="AB160" s="1"/>
  <c r="AB161" s="1"/>
  <c r="AB162" s="1"/>
  <c r="AB163" s="1"/>
  <c r="AB164" s="1"/>
  <c r="AB165" s="1"/>
  <c r="Y349" i="50"/>
  <c r="AY349" s="1"/>
  <c r="Y344"/>
  <c r="AY344" s="1"/>
  <c r="Y346"/>
  <c r="AY346" s="1"/>
  <c r="Y345"/>
  <c r="AY345" s="1"/>
  <c r="Y1942"/>
  <c r="BZ1925"/>
  <c r="BZ2006"/>
  <c r="BZ607"/>
  <c r="BZ1331"/>
  <c r="BZ386"/>
  <c r="BZ1201"/>
  <c r="BZ116"/>
  <c r="BZ1709"/>
  <c r="BZ305"/>
  <c r="BZ1493"/>
  <c r="BZ1093"/>
  <c r="BZ1763"/>
  <c r="BZ1687"/>
  <c r="BZ1255"/>
  <c r="BZ1898"/>
  <c r="BZ251"/>
  <c r="BZ1952"/>
  <c r="BZ872"/>
  <c r="BZ904"/>
  <c r="BZ1304"/>
  <c r="BZ310"/>
  <c r="BZ332"/>
  <c r="BZ413"/>
  <c r="BZ1633"/>
  <c r="BZ467"/>
  <c r="BZ1309"/>
  <c r="BZ1314" s="1"/>
  <c r="BZ1061"/>
  <c r="BZ1736"/>
  <c r="BZ1498"/>
  <c r="BZ1039"/>
  <c r="BZ877"/>
  <c r="BZ683"/>
  <c r="BZ1223"/>
  <c r="BZ548"/>
  <c r="BZ980"/>
  <c r="BZ202"/>
  <c r="BZ1147"/>
  <c r="BZ499"/>
  <c r="BZ2033"/>
  <c r="BZ575"/>
  <c r="BZ1174"/>
  <c r="BZ1179" s="1"/>
  <c r="BZ1417"/>
  <c r="BZ1979"/>
  <c r="BZ2060"/>
  <c r="BZ1390"/>
  <c r="BZ1412"/>
  <c r="BZ1579"/>
  <c r="BZ899"/>
  <c r="BZ445"/>
  <c r="BZ447" s="1"/>
  <c r="BZ764"/>
  <c r="BZ521"/>
  <c r="BZ1277"/>
  <c r="BZ553"/>
  <c r="BZ224"/>
  <c r="BZ418"/>
  <c r="BZ143"/>
  <c r="BZ1385"/>
  <c r="BZ1066"/>
  <c r="BZ931"/>
  <c r="BZ229"/>
  <c r="BZ62"/>
  <c r="BZ1957"/>
  <c r="BZ2065"/>
  <c r="BE1154"/>
  <c r="BE1155"/>
  <c r="N1142"/>
  <c r="BT1142" s="1"/>
  <c r="Q1143"/>
  <c r="Q1152"/>
  <c r="AK1152"/>
  <c r="BD1155"/>
  <c r="Q1145"/>
  <c r="Q1151"/>
  <c r="Q1142"/>
  <c r="BE1156"/>
  <c r="BE1831"/>
  <c r="BE1830"/>
  <c r="Q1820"/>
  <c r="BD1831"/>
  <c r="BE1829"/>
  <c r="BC1830"/>
  <c r="Q1818"/>
  <c r="R1934"/>
  <c r="BW1925" s="1"/>
  <c r="R449"/>
  <c r="BW440" s="1"/>
  <c r="N450" i="52"/>
  <c r="Y458" i="50"/>
  <c r="AY458" s="1"/>
  <c r="N528" i="52"/>
  <c r="AB71" i="38"/>
  <c r="AB72" s="1"/>
  <c r="AB73" s="1"/>
  <c r="AB74" s="1"/>
  <c r="AB75" s="1"/>
  <c r="AB76" s="1"/>
  <c r="AB77" s="1"/>
  <c r="AB78" s="1"/>
  <c r="AB79" s="1"/>
  <c r="AB80" s="1"/>
  <c r="AB81" s="1"/>
  <c r="AB82" s="1"/>
  <c r="AB83" s="1"/>
  <c r="AB84" s="1"/>
  <c r="AB85" s="1"/>
  <c r="AB86" s="1"/>
  <c r="AB87" s="1"/>
  <c r="AB88" s="1"/>
  <c r="AB89" s="1"/>
  <c r="AB90" s="1"/>
  <c r="AB91" s="1"/>
  <c r="AB92" s="1"/>
  <c r="AB93" s="1"/>
  <c r="AB94" s="1"/>
  <c r="AB95" s="1"/>
  <c r="AB96" s="1"/>
  <c r="AB97" s="1"/>
  <c r="AB98" s="1"/>
  <c r="AB99" s="1"/>
  <c r="AB100" s="1"/>
  <c r="AB101" s="1"/>
  <c r="AB102" s="1"/>
  <c r="AB103" s="1"/>
  <c r="AB104" s="1"/>
  <c r="AB105" s="1"/>
  <c r="AB106" s="1"/>
  <c r="AB107" s="1"/>
  <c r="AB108" s="1"/>
  <c r="AB109" s="1"/>
  <c r="AB110" s="1"/>
  <c r="AB111" s="1"/>
  <c r="AB112" s="1"/>
  <c r="AB113" s="1"/>
  <c r="AB114" s="1"/>
  <c r="AB115" s="1"/>
  <c r="AB116" s="1"/>
  <c r="AB117" s="1"/>
  <c r="AB118" s="1"/>
  <c r="AB119" s="1"/>
  <c r="K50"/>
  <c r="Y1938" i="50"/>
  <c r="AY1938" s="1"/>
  <c r="AC1930"/>
  <c r="Y1943"/>
  <c r="AY1943" s="1"/>
  <c r="Y1935"/>
  <c r="R1928"/>
  <c r="BV1925" s="1"/>
  <c r="Y1939"/>
  <c r="AY1939" s="1"/>
  <c r="AV1724"/>
  <c r="N684"/>
  <c r="BU683" s="1"/>
  <c r="K1615"/>
  <c r="BC345"/>
  <c r="BC344"/>
  <c r="BC346"/>
  <c r="AK1476"/>
  <c r="BE1478"/>
  <c r="N1466"/>
  <c r="BT1466" s="1"/>
  <c r="BC1478"/>
  <c r="N1467"/>
  <c r="BU1466" s="1"/>
  <c r="R1469"/>
  <c r="BV1466" s="1"/>
  <c r="R1475"/>
  <c r="BW1466" s="1"/>
  <c r="BE1479"/>
  <c r="Q1469"/>
  <c r="AK1478"/>
  <c r="BD1480"/>
  <c r="R1476"/>
  <c r="BX1466" s="1"/>
  <c r="Q1476"/>
  <c r="BE1480"/>
  <c r="BC1480"/>
  <c r="Q1466"/>
  <c r="BD1478"/>
  <c r="BD1479"/>
  <c r="Q1475"/>
  <c r="Q1467"/>
  <c r="BC1479"/>
  <c r="B365" i="52"/>
  <c r="B412"/>
  <c r="B460" s="1"/>
  <c r="B508" s="1"/>
  <c r="B556" s="1"/>
  <c r="B604" s="1"/>
  <c r="B652" s="1"/>
  <c r="BC1748" i="50"/>
  <c r="BC1749"/>
  <c r="BC1750"/>
  <c r="AK1100"/>
  <c r="Q1097"/>
  <c r="N1089"/>
  <c r="BU1088" s="1"/>
  <c r="Q1098"/>
  <c r="BD1100"/>
  <c r="BE1102"/>
  <c r="Q1091"/>
  <c r="BC1101"/>
  <c r="Q1088"/>
  <c r="BC1100"/>
  <c r="BD1102"/>
  <c r="R1091"/>
  <c r="BV1088" s="1"/>
  <c r="BE1101"/>
  <c r="N1088"/>
  <c r="BT1088" s="1"/>
  <c r="R1098"/>
  <c r="BX1088" s="1"/>
  <c r="R1097"/>
  <c r="BW1088" s="1"/>
  <c r="BE1100"/>
  <c r="BD1101"/>
  <c r="BC1102"/>
  <c r="BC1345"/>
  <c r="BC1343"/>
  <c r="BC1694"/>
  <c r="BC1695"/>
  <c r="K1103"/>
  <c r="BC1344"/>
  <c r="BC399"/>
  <c r="BC398"/>
  <c r="BC400"/>
  <c r="R1503"/>
  <c r="BX1493" s="1"/>
  <c r="Q1496"/>
  <c r="AK1503"/>
  <c r="AK1505"/>
  <c r="BE1507"/>
  <c r="N1494"/>
  <c r="BU1493" s="1"/>
  <c r="BD1505"/>
  <c r="BC1505"/>
  <c r="Q1502"/>
  <c r="BC1507"/>
  <c r="BE1506"/>
  <c r="R1496"/>
  <c r="BV1493" s="1"/>
  <c r="BD1506"/>
  <c r="BE1505"/>
  <c r="Q1503"/>
  <c r="Q1493"/>
  <c r="AV1103"/>
  <c r="N426" i="52"/>
  <c r="BC1371" i="50"/>
  <c r="BC1370"/>
  <c r="BC1372"/>
  <c r="AC288"/>
  <c r="AC292" s="1"/>
  <c r="AC285"/>
  <c r="AH618"/>
  <c r="Q369"/>
  <c r="BE371"/>
  <c r="BC373"/>
  <c r="BD372"/>
  <c r="Q359"/>
  <c r="BC372"/>
  <c r="AK369"/>
  <c r="Q368"/>
  <c r="Q362"/>
  <c r="BE373"/>
  <c r="Q360"/>
  <c r="BD371"/>
  <c r="AK371"/>
  <c r="BE372"/>
  <c r="BD373"/>
  <c r="R369"/>
  <c r="BX359" s="1"/>
  <c r="R362"/>
  <c r="BV359" s="1"/>
  <c r="N360"/>
  <c r="BU359" s="1"/>
  <c r="BC371"/>
  <c r="R368"/>
  <c r="BW359" s="1"/>
  <c r="N359"/>
  <c r="BT359" s="1"/>
  <c r="Y1726"/>
  <c r="Y1727"/>
  <c r="Y1725"/>
  <c r="AY1725" s="1"/>
  <c r="Y1719"/>
  <c r="AC1714"/>
  <c r="Y1724"/>
  <c r="Y1723"/>
  <c r="BZ1714"/>
  <c r="BZ1719" s="1"/>
  <c r="N1709"/>
  <c r="BT1709" s="1"/>
  <c r="Y1722"/>
  <c r="AY1722" s="1"/>
  <c r="Y1721"/>
  <c r="AY1721" s="1"/>
  <c r="R1718"/>
  <c r="BW1709" s="1"/>
  <c r="BC157"/>
  <c r="BD155"/>
  <c r="BE155"/>
  <c r="Q153"/>
  <c r="Q144"/>
  <c r="Q146"/>
  <c r="BE157"/>
  <c r="Q152"/>
  <c r="BA7" i="61"/>
  <c r="L7" s="1"/>
  <c r="BD157" i="50"/>
  <c r="BE156"/>
  <c r="BC156"/>
  <c r="Q143"/>
  <c r="BD156"/>
  <c r="BC155"/>
  <c r="AK153"/>
  <c r="AK155"/>
  <c r="AG561" i="52"/>
  <c r="AK258" i="58"/>
  <c r="M258" s="1"/>
  <c r="AA258"/>
  <c r="I258"/>
  <c r="AY1048" i="50"/>
  <c r="AY1884"/>
  <c r="BC453"/>
  <c r="BC454"/>
  <c r="AH911"/>
  <c r="AH2073"/>
  <c r="K617"/>
  <c r="N482" i="52"/>
  <c r="B25" i="57"/>
  <c r="Q360" i="52"/>
  <c r="G189" i="38"/>
  <c r="E275" i="52"/>
  <c r="AH996" i="50"/>
  <c r="AY832"/>
  <c r="AH1398"/>
  <c r="B51" i="57"/>
  <c r="G215" i="38"/>
  <c r="E297" i="52"/>
  <c r="Q386"/>
  <c r="K833" i="50"/>
  <c r="AV833"/>
  <c r="Q956"/>
  <c r="BD966"/>
  <c r="BD967"/>
  <c r="R956"/>
  <c r="BV953" s="1"/>
  <c r="R963"/>
  <c r="BX953" s="1"/>
  <c r="BC967"/>
  <c r="N954"/>
  <c r="BU953" s="1"/>
  <c r="AK965"/>
  <c r="R962"/>
  <c r="BW953" s="1"/>
  <c r="Q963"/>
  <c r="Q962"/>
  <c r="AK963"/>
  <c r="BD965"/>
  <c r="Q954"/>
  <c r="Q953"/>
  <c r="BC965"/>
  <c r="BE966"/>
  <c r="B32" i="57"/>
  <c r="G196" i="38"/>
  <c r="E277" i="52"/>
  <c r="Q367"/>
  <c r="AH291" i="50"/>
  <c r="Q1089"/>
  <c r="O368" i="52"/>
  <c r="G197" i="38" s="1"/>
  <c r="C416" i="52"/>
  <c r="C464" s="1"/>
  <c r="AK1098" i="50"/>
  <c r="Q1611"/>
  <c r="N1602"/>
  <c r="BU1601" s="1"/>
  <c r="Q1601"/>
  <c r="R1610"/>
  <c r="BW1601" s="1"/>
  <c r="Q1610"/>
  <c r="BD1615"/>
  <c r="AK1613"/>
  <c r="Q1604"/>
  <c r="Q1602"/>
  <c r="N1601"/>
  <c r="BT1601" s="1"/>
  <c r="BC1613"/>
  <c r="BE1613"/>
  <c r="BE1614"/>
  <c r="BC1615"/>
  <c r="R1604"/>
  <c r="BV1601" s="1"/>
  <c r="AK1611"/>
  <c r="R1611"/>
  <c r="BX1601" s="1"/>
  <c r="BD1613"/>
  <c r="BE1615"/>
  <c r="BC1614"/>
  <c r="BD1614"/>
  <c r="K590"/>
  <c r="AV590"/>
  <c r="O434" i="52"/>
  <c r="Q434" s="1"/>
  <c r="D482"/>
  <c r="BE967" i="50"/>
  <c r="K1076"/>
  <c r="AV1076"/>
  <c r="K1022"/>
  <c r="AV1022"/>
  <c r="Y1021"/>
  <c r="Y1019"/>
  <c r="Y1017"/>
  <c r="AC1012"/>
  <c r="Y1023"/>
  <c r="Y1022"/>
  <c r="Y1020"/>
  <c r="Y1025"/>
  <c r="Y1024"/>
  <c r="N1007"/>
  <c r="BT1007" s="1"/>
  <c r="N535" i="52"/>
  <c r="AE456"/>
  <c r="AE483"/>
  <c r="AE452"/>
  <c r="AE487"/>
  <c r="AE488"/>
  <c r="AE467"/>
  <c r="AE462"/>
  <c r="AE480"/>
  <c r="AE457"/>
  <c r="AE486"/>
  <c r="AE484"/>
  <c r="X617"/>
  <c r="N617"/>
  <c r="G218" i="38"/>
  <c r="B54" i="57"/>
  <c r="Q389" i="52"/>
  <c r="E279"/>
  <c r="AV1264" i="50"/>
  <c r="AV1345"/>
  <c r="BC319"/>
  <c r="R254"/>
  <c r="BV251" s="1"/>
  <c r="AG532" i="52"/>
  <c r="AY401" i="50"/>
  <c r="BC1885"/>
  <c r="BC562"/>
  <c r="AY614"/>
  <c r="H653" i="52"/>
  <c r="H661"/>
  <c r="AA663"/>
  <c r="AG663" s="1"/>
  <c r="H663"/>
  <c r="H669"/>
  <c r="H665"/>
  <c r="H666"/>
  <c r="R180" i="50"/>
  <c r="BX170" s="1"/>
  <c r="N250" i="58"/>
  <c r="BH250" s="1"/>
  <c r="Y182" i="50"/>
  <c r="Y477"/>
  <c r="M477" s="1"/>
  <c r="D485" i="52"/>
  <c r="O437"/>
  <c r="Q437" s="1"/>
  <c r="AV778" i="50"/>
  <c r="BC2047"/>
  <c r="BC2045"/>
  <c r="BC1209"/>
  <c r="BC1208"/>
  <c r="AG500" i="52"/>
  <c r="I661"/>
  <c r="I653"/>
  <c r="I665"/>
  <c r="I666"/>
  <c r="I669"/>
  <c r="AG580"/>
  <c r="AC472" i="50"/>
  <c r="AC477" s="1"/>
  <c r="AC483" s="1"/>
  <c r="X497" i="52"/>
  <c r="N497"/>
  <c r="BC1964" i="50"/>
  <c r="BC1966"/>
  <c r="BC1965"/>
  <c r="AC609"/>
  <c r="AG582" i="52"/>
  <c r="AH1023" i="50"/>
  <c r="Y187"/>
  <c r="AY187" s="1"/>
  <c r="AC175"/>
  <c r="BJ160" i="58"/>
  <c r="BJ128"/>
  <c r="BJ282"/>
  <c r="BJ224"/>
  <c r="K8"/>
  <c r="BJ192"/>
  <c r="BJ346"/>
  <c r="BJ64"/>
  <c r="BJ58"/>
  <c r="BJ256"/>
  <c r="BJ320"/>
  <c r="BJ352"/>
  <c r="BJ314"/>
  <c r="BJ218"/>
  <c r="BJ288"/>
  <c r="BJ250"/>
  <c r="V3"/>
  <c r="BJ96"/>
  <c r="BJ100"/>
  <c r="BJ154"/>
  <c r="BJ90"/>
  <c r="BJ122"/>
  <c r="BJ186"/>
  <c r="BC940" i="50"/>
  <c r="BC939"/>
  <c r="BC938"/>
  <c r="K1183"/>
  <c r="BE314" i="58"/>
  <c r="AY1885" i="50"/>
  <c r="D515" i="52"/>
  <c r="AY2020" i="50"/>
  <c r="N511" i="52"/>
  <c r="X511"/>
  <c r="X645"/>
  <c r="N645"/>
  <c r="AL6" i="46"/>
  <c r="AL135"/>
  <c r="AL186"/>
  <c r="AL187"/>
  <c r="AL188" s="1"/>
  <c r="AL189" s="1"/>
  <c r="S189" s="1"/>
  <c r="AL337"/>
  <c r="AL81"/>
  <c r="AL82" s="1"/>
  <c r="AL83" s="1"/>
  <c r="AL84" s="1"/>
  <c r="S84" s="1"/>
  <c r="AL22"/>
  <c r="AL275"/>
  <c r="V3"/>
  <c r="AL345"/>
  <c r="K8"/>
  <c r="AL310"/>
  <c r="AL302"/>
  <c r="AL232"/>
  <c r="AL221"/>
  <c r="AL222" s="1"/>
  <c r="AL223" s="1"/>
  <c r="AL224" s="1"/>
  <c r="S224" s="1"/>
  <c r="AL92"/>
  <c r="AL116"/>
  <c r="AL117" s="1"/>
  <c r="AL118" s="1"/>
  <c r="AL119" s="1"/>
  <c r="S119" s="1"/>
  <c r="AL100"/>
  <c r="AL240"/>
  <c r="AL57"/>
  <c r="AL65"/>
  <c r="AL46"/>
  <c r="AL47" s="1"/>
  <c r="AL48" s="1"/>
  <c r="AL49" s="1"/>
  <c r="S49" s="1"/>
  <c r="AL151"/>
  <c r="AL152"/>
  <c r="AL153" s="1"/>
  <c r="AL154" s="1"/>
  <c r="S154" s="1"/>
  <c r="AL205"/>
  <c r="AL197"/>
  <c r="F369" i="52"/>
  <c r="F417" s="1"/>
  <c r="F465" s="1"/>
  <c r="F513" s="1"/>
  <c r="F561" s="1"/>
  <c r="F609" s="1"/>
  <c r="F657" s="1"/>
  <c r="F357"/>
  <c r="F405" s="1"/>
  <c r="F453" s="1"/>
  <c r="F501" s="1"/>
  <c r="F549" s="1"/>
  <c r="F597" s="1"/>
  <c r="F645" s="1"/>
  <c r="F385"/>
  <c r="F433" s="1"/>
  <c r="F481" s="1"/>
  <c r="F529" s="1"/>
  <c r="F577" s="1"/>
  <c r="F625" s="1"/>
  <c r="F673" s="1"/>
  <c r="F401"/>
  <c r="F449"/>
  <c r="F497" s="1"/>
  <c r="F545" s="1"/>
  <c r="F593" s="1"/>
  <c r="F641" s="1"/>
  <c r="F355"/>
  <c r="F403"/>
  <c r="F451" s="1"/>
  <c r="F499" s="1"/>
  <c r="F547" s="1"/>
  <c r="F595" s="1"/>
  <c r="F643" s="1"/>
  <c r="F354"/>
  <c r="F402" s="1"/>
  <c r="F450" s="1"/>
  <c r="F498" s="1"/>
  <c r="F546" s="1"/>
  <c r="F594" s="1"/>
  <c r="F642" s="1"/>
  <c r="F386"/>
  <c r="F434" s="1"/>
  <c r="F482" s="1"/>
  <c r="F530" s="1"/>
  <c r="F578" s="1"/>
  <c r="F626" s="1"/>
  <c r="F674" s="1"/>
  <c r="AY618" i="50"/>
  <c r="AG528" i="52"/>
  <c r="AY2021" i="50"/>
  <c r="BC832"/>
  <c r="BC830"/>
  <c r="BC831"/>
  <c r="AC828"/>
  <c r="AC825"/>
  <c r="C463" i="52"/>
  <c r="O415"/>
  <c r="Q415"/>
  <c r="N503"/>
  <c r="X503"/>
  <c r="Y1130" i="50"/>
  <c r="AY1130" s="1"/>
  <c r="Y1127"/>
  <c r="AY1127" s="1"/>
  <c r="Y1131"/>
  <c r="AY1131" s="1"/>
  <c r="N1116"/>
  <c r="BU1115" s="1"/>
  <c r="R1125"/>
  <c r="BX1115" s="1"/>
  <c r="R1118"/>
  <c r="BV1115" s="1"/>
  <c r="Y1128"/>
  <c r="AY1128" s="1"/>
  <c r="N1115"/>
  <c r="BT1115" s="1"/>
  <c r="Y1125"/>
  <c r="Y1133"/>
  <c r="AY1133" s="1"/>
  <c r="Y1129"/>
  <c r="AY1129" s="1"/>
  <c r="R1124"/>
  <c r="BW1115" s="1"/>
  <c r="AC1120"/>
  <c r="AK167" i="58"/>
  <c r="AA167"/>
  <c r="I167"/>
  <c r="AY1616" i="50"/>
  <c r="BC183"/>
  <c r="AY835"/>
  <c r="BC1397"/>
  <c r="Y1481"/>
  <c r="Y1483"/>
  <c r="Y1480"/>
  <c r="Y1482"/>
  <c r="Y1484"/>
  <c r="Y1478"/>
  <c r="Y1479"/>
  <c r="AC1471"/>
  <c r="Y1476"/>
  <c r="AY1618"/>
  <c r="X598" i="52"/>
  <c r="N598"/>
  <c r="BD209" i="50"/>
  <c r="BD210"/>
  <c r="N197"/>
  <c r="BT197" s="1"/>
  <c r="R200"/>
  <c r="BV197" s="1"/>
  <c r="Q206"/>
  <c r="R206"/>
  <c r="BW197" s="1"/>
  <c r="Q207"/>
  <c r="BC210"/>
  <c r="BE211"/>
  <c r="BD211"/>
  <c r="Q200"/>
  <c r="BE210"/>
  <c r="R207"/>
  <c r="BX197" s="1"/>
  <c r="BC209"/>
  <c r="Q197"/>
  <c r="N198"/>
  <c r="BU197" s="1"/>
  <c r="Q198"/>
  <c r="AK207"/>
  <c r="BC211"/>
  <c r="AK209"/>
  <c r="BE209"/>
  <c r="AY1100"/>
  <c r="BC1154"/>
  <c r="BC1156"/>
  <c r="BC1155"/>
  <c r="BC290"/>
  <c r="BC291"/>
  <c r="BC292"/>
  <c r="AG579" i="52"/>
  <c r="AG510"/>
  <c r="AC194" i="58"/>
  <c r="AF194"/>
  <c r="AG194" s="1"/>
  <c r="AE194"/>
  <c r="AT186" s="1"/>
  <c r="AC163"/>
  <c r="AE163"/>
  <c r="AU154" s="1"/>
  <c r="N451" i="52"/>
  <c r="AY1103" i="50"/>
  <c r="BC1667"/>
  <c r="BC1668"/>
  <c r="BC1669"/>
  <c r="BC2020"/>
  <c r="BC2019"/>
  <c r="BC2018"/>
  <c r="AY1078"/>
  <c r="AK1017"/>
  <c r="Q1008"/>
  <c r="BC1021"/>
  <c r="BE1021"/>
  <c r="BD1020"/>
  <c r="BE1019"/>
  <c r="Q1007"/>
  <c r="Q1017"/>
  <c r="R1010"/>
  <c r="BV1007" s="1"/>
  <c r="BC1019"/>
  <c r="N1008"/>
  <c r="BU1007" s="1"/>
  <c r="R1016"/>
  <c r="BW1007" s="1"/>
  <c r="BC1884"/>
  <c r="N413" i="52"/>
  <c r="AY1105" i="50"/>
  <c r="BC777"/>
  <c r="BC778"/>
  <c r="AR1071"/>
  <c r="BH1061" s="1"/>
  <c r="M1071"/>
  <c r="N512" i="52"/>
  <c r="C497"/>
  <c r="O449"/>
  <c r="Q449" s="1"/>
  <c r="AG560"/>
  <c r="Q801" i="50"/>
  <c r="Q792"/>
  <c r="BE804"/>
  <c r="AK803"/>
  <c r="Q800"/>
  <c r="Q791"/>
  <c r="BE803"/>
  <c r="AK801"/>
  <c r="BC804"/>
  <c r="BD805"/>
  <c r="BD803"/>
  <c r="BD804"/>
  <c r="BC805"/>
  <c r="BC803"/>
  <c r="BC2073"/>
  <c r="BC2072"/>
  <c r="BC2074"/>
  <c r="AH1047"/>
  <c r="C362" i="52"/>
  <c r="C409"/>
  <c r="O361"/>
  <c r="C528"/>
  <c r="O480"/>
  <c r="Q480" s="1"/>
  <c r="BZ1471" i="50"/>
  <c r="W168" i="58"/>
  <c r="M160"/>
  <c r="AE160"/>
  <c r="BC1424" i="50"/>
  <c r="BC1426"/>
  <c r="BC2046"/>
  <c r="BC1290"/>
  <c r="N500" i="52"/>
  <c r="AH750" i="50"/>
  <c r="BC696"/>
  <c r="BC697"/>
  <c r="BC695"/>
  <c r="BC1127"/>
  <c r="BC1128"/>
  <c r="BC1129"/>
  <c r="Y479"/>
  <c r="Y482"/>
  <c r="Y485"/>
  <c r="BZ472"/>
  <c r="Y480"/>
  <c r="Y481"/>
  <c r="Y484"/>
  <c r="AY1511"/>
  <c r="O486" i="52"/>
  <c r="Q486"/>
  <c r="C534"/>
  <c r="AF162" i="58"/>
  <c r="AG162" s="1"/>
  <c r="AC162"/>
  <c r="AE162"/>
  <c r="AT154" s="1"/>
  <c r="Y185" i="50"/>
  <c r="AY185" s="1"/>
  <c r="W104" i="58"/>
  <c r="M96"/>
  <c r="AE96"/>
  <c r="C616" i="52"/>
  <c r="O568"/>
  <c r="Q568" s="1"/>
  <c r="BC561" i="50"/>
  <c r="AH1803"/>
  <c r="K1184"/>
  <c r="K967"/>
  <c r="AA100" i="58"/>
  <c r="AK100"/>
  <c r="I100"/>
  <c r="BC1938" i="50"/>
  <c r="BC1937"/>
  <c r="AY1507"/>
  <c r="K1372"/>
  <c r="N425" i="52"/>
  <c r="Y183" i="50"/>
  <c r="AY183" s="1"/>
  <c r="BC426"/>
  <c r="N413"/>
  <c r="BT413" s="1"/>
  <c r="BC427"/>
  <c r="R422"/>
  <c r="BW413" s="1"/>
  <c r="AK425"/>
  <c r="BD426"/>
  <c r="R423"/>
  <c r="BX413" s="1"/>
  <c r="BD427"/>
  <c r="BE426"/>
  <c r="BD425"/>
  <c r="Q413"/>
  <c r="R416"/>
  <c r="BV413" s="1"/>
  <c r="BC425"/>
  <c r="Q414"/>
  <c r="N414"/>
  <c r="BU413" s="1"/>
  <c r="AK423"/>
  <c r="Q170"/>
  <c r="Q173"/>
  <c r="BD184"/>
  <c r="BE184"/>
  <c r="BD182"/>
  <c r="BE183"/>
  <c r="BC182"/>
  <c r="BE182"/>
  <c r="BD183"/>
  <c r="Q171"/>
  <c r="AK180"/>
  <c r="BC184"/>
  <c r="BA8" i="61"/>
  <c r="H8" s="1"/>
  <c r="Q180" i="50"/>
  <c r="R179"/>
  <c r="BW170" s="1"/>
  <c r="AK182"/>
  <c r="N171"/>
  <c r="BU170" s="1"/>
  <c r="R173"/>
  <c r="BV170" s="1"/>
  <c r="Q179"/>
  <c r="AV1184"/>
  <c r="AK260" i="58"/>
  <c r="I260"/>
  <c r="AA260"/>
  <c r="Q1718" i="50"/>
  <c r="R1712"/>
  <c r="BV1709" s="1"/>
  <c r="AK1719"/>
  <c r="BC1723"/>
  <c r="Q1719"/>
  <c r="Q1709"/>
  <c r="Q1712"/>
  <c r="R1719"/>
  <c r="BX1709" s="1"/>
  <c r="BC1722"/>
  <c r="Q1710"/>
  <c r="BE1721"/>
  <c r="BD1723"/>
  <c r="BC1721"/>
  <c r="BE1722"/>
  <c r="AK1721"/>
  <c r="BZ256"/>
  <c r="Y261"/>
  <c r="Y268"/>
  <c r="AC256"/>
  <c r="Y265"/>
  <c r="Y267"/>
  <c r="Y263"/>
  <c r="Y269"/>
  <c r="Y264"/>
  <c r="N251"/>
  <c r="BT251" s="1"/>
  <c r="Y266"/>
  <c r="AY1510"/>
  <c r="N953"/>
  <c r="BT953" s="1"/>
  <c r="Y968"/>
  <c r="Y971"/>
  <c r="Y963"/>
  <c r="Y966"/>
  <c r="AC958"/>
  <c r="Y969"/>
  <c r="Y967"/>
  <c r="BZ958"/>
  <c r="Y965"/>
  <c r="Y970"/>
  <c r="N532" i="52"/>
  <c r="O583"/>
  <c r="Q583" s="1"/>
  <c r="C631"/>
  <c r="Y180" i="50"/>
  <c r="M180" s="1"/>
  <c r="AH1884"/>
  <c r="N515" i="52"/>
  <c r="AG563"/>
  <c r="AH534" i="50"/>
  <c r="AH642"/>
  <c r="Y858"/>
  <c r="Y855"/>
  <c r="AR855" s="1"/>
  <c r="BH845" s="1"/>
  <c r="Y861"/>
  <c r="AC850"/>
  <c r="Y860"/>
  <c r="Y862"/>
  <c r="Y857"/>
  <c r="Y863"/>
  <c r="AY863" s="1"/>
  <c r="Y859"/>
  <c r="BZ850"/>
  <c r="K1588"/>
  <c r="L486" i="52"/>
  <c r="L488"/>
  <c r="L464"/>
  <c r="L452"/>
  <c r="L456"/>
  <c r="L467"/>
  <c r="L483"/>
  <c r="L480"/>
  <c r="L462"/>
  <c r="L484"/>
  <c r="L487"/>
  <c r="L457"/>
  <c r="C394"/>
  <c r="C441"/>
  <c r="O393"/>
  <c r="AG665"/>
  <c r="AH1127" i="50"/>
  <c r="AH1586"/>
  <c r="AV1588"/>
  <c r="AG661" i="52"/>
  <c r="AH425" i="50"/>
  <c r="AC639"/>
  <c r="AC641" s="1"/>
  <c r="AR641" s="1"/>
  <c r="BJ629" s="1"/>
  <c r="AC636"/>
  <c r="AH1479"/>
  <c r="AH831"/>
  <c r="AA462" i="52"/>
  <c r="AA488"/>
  <c r="AA467"/>
  <c r="AA480"/>
  <c r="AA484"/>
  <c r="AA457"/>
  <c r="AA464"/>
  <c r="AA486"/>
  <c r="AA456"/>
  <c r="AA483"/>
  <c r="AA487"/>
  <c r="AA452"/>
  <c r="AH1182" i="50"/>
  <c r="AH966"/>
  <c r="AH1776"/>
  <c r="AK855"/>
  <c r="BE857"/>
  <c r="BE859"/>
  <c r="BE858"/>
  <c r="BD859"/>
  <c r="BC858"/>
  <c r="R848"/>
  <c r="BV845" s="1"/>
  <c r="Q848"/>
  <c r="BD857"/>
  <c r="BD858"/>
  <c r="R854"/>
  <c r="BW845" s="1"/>
  <c r="BC857"/>
  <c r="BC859"/>
  <c r="AK857"/>
  <c r="Q855"/>
  <c r="R855"/>
  <c r="BX845" s="1"/>
  <c r="N845"/>
  <c r="BT845" s="1"/>
  <c r="Q846"/>
  <c r="N846"/>
  <c r="BU845" s="1"/>
  <c r="Q845"/>
  <c r="Q854"/>
  <c r="N453" i="52"/>
  <c r="AG669"/>
  <c r="AH1478" i="50"/>
  <c r="AH1158"/>
  <c r="AC324" i="58"/>
  <c r="AD324" s="1"/>
  <c r="AE324"/>
  <c r="AV314" s="1"/>
  <c r="AH1914" i="50"/>
  <c r="C468" i="52"/>
  <c r="O420"/>
  <c r="Q420" s="1"/>
  <c r="AH372" i="50"/>
  <c r="G212" i="38"/>
  <c r="E290" i="52"/>
  <c r="E289"/>
  <c r="Q383"/>
  <c r="B48" i="57"/>
  <c r="J484" i="52"/>
  <c r="J486"/>
  <c r="J467"/>
  <c r="J487"/>
  <c r="J488"/>
  <c r="J457"/>
  <c r="J452"/>
  <c r="J483"/>
  <c r="J456"/>
  <c r="J462"/>
  <c r="J464"/>
  <c r="J480"/>
  <c r="AG653"/>
  <c r="AY429" i="50"/>
  <c r="AH1860"/>
  <c r="AH564"/>
  <c r="AC528"/>
  <c r="AC531"/>
  <c r="AC534" s="1"/>
  <c r="AY431"/>
  <c r="N465" i="52"/>
  <c r="AY884" i="50"/>
  <c r="AH1748"/>
  <c r="AR882"/>
  <c r="AY645"/>
  <c r="N481" i="52"/>
  <c r="AH1101" i="50"/>
  <c r="AH345"/>
  <c r="AH399"/>
  <c r="AH317"/>
  <c r="R476"/>
  <c r="BW467" s="1"/>
  <c r="BE479"/>
  <c r="BD479"/>
  <c r="BE481"/>
  <c r="Q476"/>
  <c r="BC479"/>
  <c r="AK477"/>
  <c r="Q477"/>
  <c r="Q467"/>
  <c r="AK479"/>
  <c r="BD481"/>
  <c r="R470"/>
  <c r="BV467" s="1"/>
  <c r="Q468"/>
  <c r="BD480"/>
  <c r="N468"/>
  <c r="BU467" s="1"/>
  <c r="BC481"/>
  <c r="BE480"/>
  <c r="R477"/>
  <c r="BX467" s="1"/>
  <c r="N467"/>
  <c r="BT467" s="1"/>
  <c r="Q470"/>
  <c r="BC480"/>
  <c r="AO293" i="58"/>
  <c r="AO292"/>
  <c r="AO294" s="1"/>
  <c r="AH699" i="50"/>
  <c r="AY184"/>
  <c r="AH803"/>
  <c r="AY483"/>
  <c r="Q1982"/>
  <c r="Q1979"/>
  <c r="Q1988"/>
  <c r="BD1992"/>
  <c r="AK1989"/>
  <c r="BE1992"/>
  <c r="BC1993"/>
  <c r="Q1980"/>
  <c r="N1980"/>
  <c r="BU1979" s="1"/>
  <c r="R1982"/>
  <c r="BV1979" s="1"/>
  <c r="AK1991"/>
  <c r="BC1992"/>
  <c r="Q1989"/>
  <c r="R1988"/>
  <c r="BW1979" s="1"/>
  <c r="BE1991"/>
  <c r="BD1993"/>
  <c r="N1979"/>
  <c r="BT1979" s="1"/>
  <c r="BC1991"/>
  <c r="R1989"/>
  <c r="BX1979" s="1"/>
  <c r="BE1993"/>
  <c r="BD1991"/>
  <c r="D507" i="52"/>
  <c r="O459"/>
  <c r="Q459" s="1"/>
  <c r="AH321" i="50"/>
  <c r="AH290"/>
  <c r="AH132"/>
  <c r="AH969"/>
  <c r="AH240"/>
  <c r="AH426"/>
  <c r="AH992"/>
  <c r="AF358" i="58"/>
  <c r="AE358"/>
  <c r="AX346" s="1"/>
  <c r="BZ339" i="50"/>
  <c r="BZ342"/>
  <c r="Y1910"/>
  <c r="Y1916"/>
  <c r="Y1913"/>
  <c r="AC1903"/>
  <c r="Y1912"/>
  <c r="Y1911"/>
  <c r="BZ1903"/>
  <c r="Y1915"/>
  <c r="Y1914"/>
  <c r="Y1908"/>
  <c r="AH1401"/>
  <c r="AH776"/>
  <c r="AH884"/>
  <c r="I261" i="58"/>
  <c r="AK261"/>
  <c r="M261" s="1"/>
  <c r="AA261"/>
  <c r="AH267" i="50"/>
  <c r="O431" i="52"/>
  <c r="Q431" s="1"/>
  <c r="D479"/>
  <c r="AH1425" i="50"/>
  <c r="BC1910"/>
  <c r="N1898"/>
  <c r="BT1898" s="1"/>
  <c r="Q1908"/>
  <c r="Q1898"/>
  <c r="R1901"/>
  <c r="BV1898" s="1"/>
  <c r="BD1910"/>
  <c r="BE1910"/>
  <c r="AK1910"/>
  <c r="BC1911"/>
  <c r="Q1901"/>
  <c r="Q1907"/>
  <c r="BE1912"/>
  <c r="BD1911"/>
  <c r="BE1911"/>
  <c r="Q1899"/>
  <c r="AK1908"/>
  <c r="BD1912"/>
  <c r="R1907"/>
  <c r="BW1898" s="1"/>
  <c r="BC1912"/>
  <c r="N1899"/>
  <c r="BU1898" s="1"/>
  <c r="R1908"/>
  <c r="BX1898" s="1"/>
  <c r="AH213"/>
  <c r="AH1208"/>
  <c r="K238"/>
  <c r="M1341"/>
  <c r="AG450" i="52"/>
  <c r="AH1046" i="50"/>
  <c r="AH2045"/>
  <c r="AH993"/>
  <c r="AH1587"/>
  <c r="AC231"/>
  <c r="AC234"/>
  <c r="AC242" s="1"/>
  <c r="AC483" i="52"/>
  <c r="AC452"/>
  <c r="AC488"/>
  <c r="AC480"/>
  <c r="AC456"/>
  <c r="AC484"/>
  <c r="AC487"/>
  <c r="AC486"/>
  <c r="AC457"/>
  <c r="AC462"/>
  <c r="AC467"/>
  <c r="AH615" i="50"/>
  <c r="AH965"/>
  <c r="AH1131"/>
  <c r="AH1722"/>
  <c r="AR1854"/>
  <c r="M1854"/>
  <c r="AC1984"/>
  <c r="Y1993"/>
  <c r="Y1995"/>
  <c r="Y1994"/>
  <c r="Y1997"/>
  <c r="Y1991"/>
  <c r="Y1989"/>
  <c r="Y1992"/>
  <c r="Y1996"/>
  <c r="BZ1984"/>
  <c r="AG451" i="52"/>
  <c r="AH780" i="50"/>
  <c r="AH78"/>
  <c r="B374" i="52"/>
  <c r="B421"/>
  <c r="B469" s="1"/>
  <c r="B517" s="1"/>
  <c r="B565" s="1"/>
  <c r="B613" s="1"/>
  <c r="B661" s="1"/>
  <c r="AG481"/>
  <c r="AY427" i="50"/>
  <c r="BZ1341"/>
  <c r="AH588"/>
  <c r="AH159"/>
  <c r="AH371"/>
  <c r="K212"/>
  <c r="N546" i="52"/>
  <c r="AG482"/>
  <c r="AH1749" i="50"/>
  <c r="AH1995"/>
  <c r="AH834"/>
  <c r="AG459" i="52"/>
  <c r="AH777" i="50"/>
  <c r="AH587"/>
  <c r="AH1694"/>
  <c r="AH1344"/>
  <c r="AG465" i="52"/>
  <c r="AH1775" i="50"/>
  <c r="AH480"/>
  <c r="AH2019"/>
  <c r="AH1424"/>
  <c r="AF66" i="58"/>
  <c r="AG66" s="1"/>
  <c r="AR1800" i="50"/>
  <c r="M1800"/>
  <c r="AH2018"/>
  <c r="AH857"/>
  <c r="AH858"/>
  <c r="O427" i="52"/>
  <c r="Q427" s="1"/>
  <c r="C475"/>
  <c r="B394"/>
  <c r="B442"/>
  <c r="B490" s="1"/>
  <c r="B538" s="1"/>
  <c r="B586" s="1"/>
  <c r="B634" s="1"/>
  <c r="B682" s="1"/>
  <c r="B441"/>
  <c r="B489" s="1"/>
  <c r="B537"/>
  <c r="B585" s="1"/>
  <c r="B633" s="1"/>
  <c r="B681" s="1"/>
  <c r="AH1752" i="50"/>
  <c r="AH479"/>
  <c r="A264" i="52"/>
  <c r="AH1455" i="50"/>
  <c r="AH1830"/>
  <c r="C513" i="52"/>
  <c r="O465"/>
  <c r="Q465"/>
  <c r="M639" i="50"/>
  <c r="E295" i="52"/>
  <c r="Q385"/>
  <c r="G214" i="38"/>
  <c r="B50" i="57"/>
  <c r="E285" i="52"/>
  <c r="Q379"/>
  <c r="G208" i="38"/>
  <c r="E287" i="52"/>
  <c r="B44" i="57"/>
  <c r="C488" i="52"/>
  <c r="O440"/>
  <c r="Q440" s="1"/>
  <c r="AH1128" i="50"/>
  <c r="C421" i="52"/>
  <c r="O373"/>
  <c r="C374"/>
  <c r="AH1887" i="50"/>
  <c r="D481" i="52"/>
  <c r="O433"/>
  <c r="Q433" s="1"/>
  <c r="B57" i="57"/>
  <c r="Q392" i="52"/>
  <c r="G221" i="38"/>
  <c r="E280" i="52"/>
  <c r="AC1152" i="50"/>
  <c r="AC1160" s="1"/>
  <c r="AE66" i="58"/>
  <c r="AT58" s="1"/>
  <c r="O429" i="52"/>
  <c r="Q429"/>
  <c r="AY1696" i="50"/>
  <c r="N282" i="58"/>
  <c r="BH282" s="1"/>
  <c r="AO164"/>
  <c r="AO166" s="1"/>
  <c r="BZ690" i="50"/>
  <c r="AG358" i="58"/>
  <c r="BZ393" i="50"/>
  <c r="AC555"/>
  <c r="AC831"/>
  <c r="AJ831" s="1"/>
  <c r="C600" i="52"/>
  <c r="C648"/>
  <c r="O648" s="1"/>
  <c r="Q648" s="1"/>
  <c r="AC879" i="50"/>
  <c r="AC882"/>
  <c r="AC885" s="1"/>
  <c r="AC508"/>
  <c r="M423"/>
  <c r="BZ723"/>
  <c r="BZ1851"/>
  <c r="AC1806"/>
  <c r="AR720"/>
  <c r="BH710" s="1"/>
  <c r="O483" i="52"/>
  <c r="Q483"/>
  <c r="M288" i="50"/>
  <c r="AO260" i="58"/>
  <c r="AO262" s="1"/>
  <c r="AC1044" i="50"/>
  <c r="BZ1806"/>
  <c r="BZ1743"/>
  <c r="BZ636"/>
  <c r="AC663"/>
  <c r="AC1638"/>
  <c r="AC1646" s="1"/>
  <c r="BZ717"/>
  <c r="AC720"/>
  <c r="AS720" s="1"/>
  <c r="AT720" s="1"/>
  <c r="AF101" i="58"/>
  <c r="AG101" s="1"/>
  <c r="AY426" i="50"/>
  <c r="AC2016"/>
  <c r="AC2020" s="1"/>
  <c r="AO356" i="58"/>
  <c r="AO358" s="1"/>
  <c r="AC393" i="50"/>
  <c r="BE282" i="58"/>
  <c r="BZ1797" i="50"/>
  <c r="AF326" i="58"/>
  <c r="AG326" s="1"/>
  <c r="BZ1014" i="50"/>
  <c r="M531"/>
  <c r="BZ1125"/>
  <c r="BZ825"/>
  <c r="AP260" i="58"/>
  <c r="AP262" s="1"/>
  <c r="AC1503" i="50"/>
  <c r="AC1505" s="1"/>
  <c r="AR1692"/>
  <c r="BH1682" s="1"/>
  <c r="BZ1611"/>
  <c r="BZ1618" s="1"/>
  <c r="N154" i="58"/>
  <c r="BH154" s="1"/>
  <c r="BZ744" i="50"/>
  <c r="M1503"/>
  <c r="BZ1722"/>
  <c r="AO69" i="58"/>
  <c r="N58"/>
  <c r="BH58" s="1"/>
  <c r="G219" i="38"/>
  <c r="B55" i="57"/>
  <c r="BZ993" i="50"/>
  <c r="AP228" i="58"/>
  <c r="AP230" s="1"/>
  <c r="F279" i="52"/>
  <c r="F282" s="1"/>
  <c r="AC263" i="58"/>
  <c r="AD263" s="1"/>
  <c r="AC1348" i="50"/>
  <c r="I1348" s="1"/>
  <c r="BZ1348"/>
  <c r="AC987"/>
  <c r="AE292" i="58"/>
  <c r="AV282" s="1"/>
  <c r="BF90"/>
  <c r="M2016" i="50"/>
  <c r="AF291" i="58"/>
  <c r="AG291" s="1"/>
  <c r="AC291"/>
  <c r="M1449" i="50"/>
  <c r="AR1638"/>
  <c r="BH1628" s="1"/>
  <c r="M1638"/>
  <c r="BZ728"/>
  <c r="M990"/>
  <c r="AC671"/>
  <c r="AS671" s="1"/>
  <c r="AT671" s="1"/>
  <c r="AR2070"/>
  <c r="BH2060" s="1"/>
  <c r="M2070"/>
  <c r="AL171" i="46"/>
  <c r="AL174"/>
  <c r="AL176" s="1"/>
  <c r="BZ666" i="50"/>
  <c r="BZ671" s="1"/>
  <c r="O484" i="52"/>
  <c r="Q484" s="1"/>
  <c r="AA72" i="58"/>
  <c r="AK72"/>
  <c r="I72"/>
  <c r="O435" i="52"/>
  <c r="Q435" s="1"/>
  <c r="AC2070" i="50"/>
  <c r="AC2075" s="1"/>
  <c r="AC2067"/>
  <c r="BZ177"/>
  <c r="AP357" i="58"/>
  <c r="AY428" i="50"/>
  <c r="AC618"/>
  <c r="AR618" s="1"/>
  <c r="BP602" s="1"/>
  <c r="AF198" i="58"/>
  <c r="AG198" s="1"/>
  <c r="AE198"/>
  <c r="AX186" s="1"/>
  <c r="AR558" i="50"/>
  <c r="BH548" s="1"/>
  <c r="M558"/>
  <c r="AK328" i="58"/>
  <c r="I328"/>
  <c r="AA328"/>
  <c r="M342" i="50"/>
  <c r="BZ1662"/>
  <c r="N467" i="52"/>
  <c r="B33" i="57"/>
  <c r="F277" i="52"/>
  <c r="Q368"/>
  <c r="AG467"/>
  <c r="AP100" i="58"/>
  <c r="AP102" s="1"/>
  <c r="AP101"/>
  <c r="M1665" i="50"/>
  <c r="BE122" i="58"/>
  <c r="N122"/>
  <c r="BH122" s="1"/>
  <c r="BZ2023" i="50"/>
  <c r="AC293"/>
  <c r="I293" s="1"/>
  <c r="AC1343"/>
  <c r="AF1343" s="1"/>
  <c r="BZ528"/>
  <c r="BZ531"/>
  <c r="BZ369"/>
  <c r="BZ366"/>
  <c r="BZ726"/>
  <c r="AC290"/>
  <c r="AG290" s="1"/>
  <c r="AC1263"/>
  <c r="AN1263" s="1"/>
  <c r="BZ1932"/>
  <c r="AG480" i="52"/>
  <c r="AG488"/>
  <c r="BZ2019" i="50"/>
  <c r="AC1642"/>
  <c r="BZ2013"/>
  <c r="BZ288"/>
  <c r="BZ298" s="1"/>
  <c r="O416" i="52"/>
  <c r="Q416" s="1"/>
  <c r="AG1638" i="50"/>
  <c r="AC1640"/>
  <c r="AC1644"/>
  <c r="AS1638"/>
  <c r="AT1638" s="1"/>
  <c r="AF1638"/>
  <c r="AI1638"/>
  <c r="AC1643"/>
  <c r="AC1645"/>
  <c r="BZ1716"/>
  <c r="C450" i="52"/>
  <c r="C498" s="1"/>
  <c r="AC450" i="50"/>
  <c r="AC535"/>
  <c r="I535" s="1"/>
  <c r="N483" i="52"/>
  <c r="C357"/>
  <c r="O357" s="1"/>
  <c r="AC1964" i="50"/>
  <c r="AG1962"/>
  <c r="AS1962"/>
  <c r="AT1962" s="1"/>
  <c r="AC1969"/>
  <c r="AC1968"/>
  <c r="AC1965"/>
  <c r="AF1962"/>
  <c r="AI1962"/>
  <c r="N452" i="52"/>
  <c r="BZ1878" i="50"/>
  <c r="AC1970"/>
  <c r="AC1966"/>
  <c r="AC995"/>
  <c r="AR995" s="1"/>
  <c r="AC998"/>
  <c r="I998" s="1"/>
  <c r="AK296" i="58"/>
  <c r="AA296"/>
  <c r="I296"/>
  <c r="AC1611" i="50"/>
  <c r="AC1614" s="1"/>
  <c r="AC1608"/>
  <c r="AC1581"/>
  <c r="AC1584"/>
  <c r="AC1587" s="1"/>
  <c r="AC1048"/>
  <c r="AR1048" s="1"/>
  <c r="BN1034" s="1"/>
  <c r="AC747"/>
  <c r="AC754" s="1"/>
  <c r="AC501"/>
  <c r="BZ1449"/>
  <c r="BZ1455" s="1"/>
  <c r="AC615"/>
  <c r="AO615" s="1"/>
  <c r="AF294" i="58"/>
  <c r="AG294" s="1"/>
  <c r="AE294"/>
  <c r="AX282" s="1"/>
  <c r="AE355"/>
  <c r="AU346" s="1"/>
  <c r="AC355"/>
  <c r="AF355"/>
  <c r="AG355" s="1"/>
  <c r="BZ987" i="50"/>
  <c r="BZ2022"/>
  <c r="AY1942"/>
  <c r="AC474"/>
  <c r="AC669"/>
  <c r="AR669" s="1"/>
  <c r="AR396"/>
  <c r="BH386" s="1"/>
  <c r="M396"/>
  <c r="AR1584"/>
  <c r="BH1574" s="1"/>
  <c r="M1584"/>
  <c r="N480" i="52"/>
  <c r="AY669" i="50"/>
  <c r="BZ2024"/>
  <c r="BZ2018"/>
  <c r="AC1446"/>
  <c r="AC1449"/>
  <c r="AC1453" s="1"/>
  <c r="AF227" i="58"/>
  <c r="AG227" s="1"/>
  <c r="AC227"/>
  <c r="AE227"/>
  <c r="AU218" s="1"/>
  <c r="AS1967" i="50"/>
  <c r="AT1967" s="1"/>
  <c r="AR1967"/>
  <c r="I1967"/>
  <c r="AY914"/>
  <c r="M1206"/>
  <c r="AR1206"/>
  <c r="BH1196" s="1"/>
  <c r="AC1206"/>
  <c r="AC1210" s="1"/>
  <c r="AC1203"/>
  <c r="AY939"/>
  <c r="C366" i="52"/>
  <c r="O365"/>
  <c r="C413"/>
  <c r="AE166" i="58"/>
  <c r="AX154" s="1"/>
  <c r="AF166"/>
  <c r="AG166" s="1"/>
  <c r="AY943" i="50"/>
  <c r="G193" i="38"/>
  <c r="B29" i="57"/>
  <c r="Q364" i="52"/>
  <c r="F276"/>
  <c r="AC672" i="50"/>
  <c r="AJ672" s="1"/>
  <c r="I672" s="1"/>
  <c r="AC668"/>
  <c r="N486" i="52"/>
  <c r="BZ2021" i="50"/>
  <c r="Q371" i="52"/>
  <c r="AC1344" i="50"/>
  <c r="AJ1344" s="1"/>
  <c r="AC936"/>
  <c r="AC940" s="1"/>
  <c r="AC933"/>
  <c r="AR747"/>
  <c r="BH737" s="1"/>
  <c r="M747"/>
  <c r="AY940"/>
  <c r="AY938"/>
  <c r="AC673"/>
  <c r="I673" s="1"/>
  <c r="AY941"/>
  <c r="AY944"/>
  <c r="AR936"/>
  <c r="BH926" s="1"/>
  <c r="M936"/>
  <c r="BZ771"/>
  <c r="BZ774"/>
  <c r="AF322" i="58"/>
  <c r="AG322" s="1"/>
  <c r="AC322"/>
  <c r="AE322"/>
  <c r="AT314" s="1"/>
  <c r="O412" i="52"/>
  <c r="Q412" s="1"/>
  <c r="C460"/>
  <c r="BZ2020" i="50"/>
  <c r="AC619"/>
  <c r="AR619" s="1"/>
  <c r="BR602" s="1"/>
  <c r="AY942"/>
  <c r="AR207"/>
  <c r="BH197" s="1"/>
  <c r="M207"/>
  <c r="AE327" i="58"/>
  <c r="AY314" s="1"/>
  <c r="AC327"/>
  <c r="AD327" s="1"/>
  <c r="C356" i="52"/>
  <c r="O356" s="1"/>
  <c r="C403"/>
  <c r="C451" s="1"/>
  <c r="AC993" i="50"/>
  <c r="AF993" s="1"/>
  <c r="AC207"/>
  <c r="AC213" s="1"/>
  <c r="AC204"/>
  <c r="AC342"/>
  <c r="AC350" s="1"/>
  <c r="AY213"/>
  <c r="C524" i="52"/>
  <c r="O476"/>
  <c r="Q476" s="1"/>
  <c r="AO228" i="58"/>
  <c r="AO230" s="1"/>
  <c r="AY912" i="50"/>
  <c r="BZ1721"/>
  <c r="AC906"/>
  <c r="AC909"/>
  <c r="AC911" s="1"/>
  <c r="AC674"/>
  <c r="AY911"/>
  <c r="AO1262"/>
  <c r="AR1262"/>
  <c r="BJ1250" s="1"/>
  <c r="AI1262"/>
  <c r="AF1262"/>
  <c r="AG1262"/>
  <c r="AN1262"/>
  <c r="BZ1176"/>
  <c r="BZ906"/>
  <c r="BZ909"/>
  <c r="AR504"/>
  <c r="BH494" s="1"/>
  <c r="M504"/>
  <c r="BZ2067"/>
  <c r="BZ2070"/>
  <c r="AY1398"/>
  <c r="AY454"/>
  <c r="BZ1959"/>
  <c r="BZ1962"/>
  <c r="AY1397"/>
  <c r="AC536"/>
  <c r="AS536" s="1"/>
  <c r="AT536" s="1"/>
  <c r="BZ504"/>
  <c r="BZ501"/>
  <c r="AY1402"/>
  <c r="AC98" i="58"/>
  <c r="AE98"/>
  <c r="AT90" s="1"/>
  <c r="AF98"/>
  <c r="AG98" s="1"/>
  <c r="AC236" i="50"/>
  <c r="AO236" s="1"/>
  <c r="BZ234"/>
  <c r="BZ237" s="1"/>
  <c r="BZ231"/>
  <c r="BZ1149"/>
  <c r="BZ1152"/>
  <c r="AR1395"/>
  <c r="BH1385" s="1"/>
  <c r="M1395"/>
  <c r="AR180"/>
  <c r="BH170" s="1"/>
  <c r="BZ933"/>
  <c r="BZ936"/>
  <c r="BZ207"/>
  <c r="BZ204"/>
  <c r="BZ1260"/>
  <c r="BZ1257"/>
  <c r="AC1392"/>
  <c r="AC1395"/>
  <c r="AC1397" s="1"/>
  <c r="AC539"/>
  <c r="AR539" s="1"/>
  <c r="BS521" s="1"/>
  <c r="BZ755"/>
  <c r="BZ1068"/>
  <c r="BZ1071"/>
  <c r="BZ1689"/>
  <c r="BZ1692"/>
  <c r="AC997"/>
  <c r="AS990"/>
  <c r="AT990" s="1"/>
  <c r="AG990"/>
  <c r="AF990"/>
  <c r="AI990"/>
  <c r="AC994"/>
  <c r="AC996"/>
  <c r="AC992"/>
  <c r="AE231" i="58"/>
  <c r="AY218" s="1"/>
  <c r="AC231"/>
  <c r="AD231" s="1"/>
  <c r="AY1399" i="50"/>
  <c r="O532" i="52"/>
  <c r="Q532" s="1"/>
  <c r="C580"/>
  <c r="AC538" i="50"/>
  <c r="AR538" s="1"/>
  <c r="AY1400"/>
  <c r="AC1265"/>
  <c r="BZ609"/>
  <c r="BZ612"/>
  <c r="AY182"/>
  <c r="BZ1095"/>
  <c r="BZ1098"/>
  <c r="AY1401"/>
  <c r="BZ754"/>
  <c r="BZ420"/>
  <c r="BZ423"/>
  <c r="AC774"/>
  <c r="AC781" s="1"/>
  <c r="AC771"/>
  <c r="O521" i="52"/>
  <c r="Q521"/>
  <c r="C569"/>
  <c r="AY1403" i="50"/>
  <c r="G199" i="38"/>
  <c r="BZ882" i="50"/>
  <c r="BZ879"/>
  <c r="AE99" i="58"/>
  <c r="AU90" s="1"/>
  <c r="AF99"/>
  <c r="AG99" s="1"/>
  <c r="AC99"/>
  <c r="AY781" i="50"/>
  <c r="AY240"/>
  <c r="N456" i="52"/>
  <c r="B35" i="57"/>
  <c r="BZ558" i="50"/>
  <c r="BZ555"/>
  <c r="BZ1041"/>
  <c r="BZ1044"/>
  <c r="M234"/>
  <c r="AR234"/>
  <c r="BH224" s="1"/>
  <c r="AY695"/>
  <c r="AG457" i="52"/>
  <c r="Q370"/>
  <c r="BZ1500" i="50"/>
  <c r="BZ1503"/>
  <c r="AY237"/>
  <c r="AR1935"/>
  <c r="BH1925" s="1"/>
  <c r="M1935"/>
  <c r="AG1341"/>
  <c r="AS1341"/>
  <c r="AT1341" s="1"/>
  <c r="AI1341"/>
  <c r="AF1341"/>
  <c r="AC1347"/>
  <c r="AC1346"/>
  <c r="AC1345"/>
  <c r="AC1349"/>
  <c r="AC354" i="58"/>
  <c r="AE354"/>
  <c r="AT346" s="1"/>
  <c r="AF354"/>
  <c r="AG354" s="1"/>
  <c r="AG487" i="52"/>
  <c r="BZ1206" i="50"/>
  <c r="BZ1203"/>
  <c r="AY320"/>
  <c r="AY1427"/>
  <c r="AG484" i="52"/>
  <c r="AC1935" i="50"/>
  <c r="AC1940" s="1"/>
  <c r="AC1932"/>
  <c r="BZ1311"/>
  <c r="AC359" i="58"/>
  <c r="AD359" s="1"/>
  <c r="AE359"/>
  <c r="AY346" s="1"/>
  <c r="AR315" i="50"/>
  <c r="BH305" s="1"/>
  <c r="M315"/>
  <c r="G278" i="52"/>
  <c r="BZ450" i="50"/>
  <c r="BZ458" s="1"/>
  <c r="AC1804"/>
  <c r="AC1802"/>
  <c r="AG1800"/>
  <c r="AC1805"/>
  <c r="AC1807"/>
  <c r="AC1803"/>
  <c r="AC1808"/>
  <c r="AF1800"/>
  <c r="AI1800"/>
  <c r="AS1800"/>
  <c r="AT1800" s="1"/>
  <c r="AC312"/>
  <c r="AC315"/>
  <c r="AY1424"/>
  <c r="AY318"/>
  <c r="G200" i="38"/>
  <c r="BZ1584" i="50"/>
  <c r="BZ1581"/>
  <c r="BZ1635"/>
  <c r="BZ1638"/>
  <c r="AY322"/>
  <c r="AR1422"/>
  <c r="BH1412" s="1"/>
  <c r="M1422"/>
  <c r="AY317"/>
  <c r="AY1428"/>
  <c r="BZ1395"/>
  <c r="BZ1405" s="1"/>
  <c r="BZ1392"/>
  <c r="AY700"/>
  <c r="AY323"/>
  <c r="AY1426"/>
  <c r="BZ312"/>
  <c r="BZ315"/>
  <c r="BZ325" s="1"/>
  <c r="AC690"/>
  <c r="AC693"/>
  <c r="AC701" s="1"/>
  <c r="AY321"/>
  <c r="AY1425"/>
  <c r="AS1044"/>
  <c r="AT1044" s="1"/>
  <c r="AC1052"/>
  <c r="AF1044"/>
  <c r="AG1044"/>
  <c r="AC1050"/>
  <c r="AI1044"/>
  <c r="G284" i="52"/>
  <c r="B43" i="57"/>
  <c r="Q378" i="52"/>
  <c r="G207" i="38"/>
  <c r="AR693" i="50"/>
  <c r="BH683" s="1"/>
  <c r="M693"/>
  <c r="AY319"/>
  <c r="AY456"/>
  <c r="AC1422"/>
  <c r="AC1430" s="1"/>
  <c r="I1430" s="1"/>
  <c r="AC1419"/>
  <c r="BZ1422"/>
  <c r="BZ1432" s="1"/>
  <c r="BZ1419"/>
  <c r="C474" i="52"/>
  <c r="O426"/>
  <c r="Q426" s="1"/>
  <c r="AY697" i="50"/>
  <c r="AF1260"/>
  <c r="AI1260"/>
  <c r="AS1260"/>
  <c r="AT1260" s="1"/>
  <c r="AG1260"/>
  <c r="AC1267"/>
  <c r="AC1266"/>
  <c r="AC1264"/>
  <c r="AC1268"/>
  <c r="AR831"/>
  <c r="AY263"/>
  <c r="AY967"/>
  <c r="BJ307" i="58"/>
  <c r="BJ294"/>
  <c r="BJ295"/>
  <c r="BJ309"/>
  <c r="BJ311" s="1"/>
  <c r="BJ290"/>
  <c r="BJ291"/>
  <c r="BJ292"/>
  <c r="BJ293"/>
  <c r="BJ296"/>
  <c r="BJ301"/>
  <c r="BJ302" s="1"/>
  <c r="AY969" i="50"/>
  <c r="AL130" i="46"/>
  <c r="AL131" s="1"/>
  <c r="AL136"/>
  <c r="AL139" s="1"/>
  <c r="AL141" s="1"/>
  <c r="BJ261" i="58"/>
  <c r="N457" i="52"/>
  <c r="AC646" i="50"/>
  <c r="AR646" s="1"/>
  <c r="AC507"/>
  <c r="AR507" s="1"/>
  <c r="BL494" s="1"/>
  <c r="AC960"/>
  <c r="AC963"/>
  <c r="AC968" s="1"/>
  <c r="AY1480"/>
  <c r="N488" i="52"/>
  <c r="AY966" i="50"/>
  <c r="BJ359" i="58"/>
  <c r="BJ371"/>
  <c r="BJ355"/>
  <c r="BJ354"/>
  <c r="BJ365"/>
  <c r="BJ366" s="1"/>
  <c r="BJ358"/>
  <c r="BJ373"/>
  <c r="BJ375" s="1"/>
  <c r="AY484" i="50"/>
  <c r="AS828"/>
  <c r="AT828" s="1"/>
  <c r="AF828"/>
  <c r="AG828"/>
  <c r="AI828"/>
  <c r="AC833"/>
  <c r="AC834"/>
  <c r="AC830"/>
  <c r="AY1025"/>
  <c r="AL200" i="46"/>
  <c r="AL201" s="1"/>
  <c r="AL206"/>
  <c r="AL209" s="1"/>
  <c r="AL211" s="1"/>
  <c r="BZ1756" i="50"/>
  <c r="BZ1750"/>
  <c r="N487" i="52"/>
  <c r="AR963" i="50"/>
  <c r="M963"/>
  <c r="AL60" i="46"/>
  <c r="AL61" s="1"/>
  <c r="AL66"/>
  <c r="AL69" s="1"/>
  <c r="AL71" s="1"/>
  <c r="BJ322" i="58"/>
  <c r="BJ323"/>
  <c r="BJ324"/>
  <c r="BJ327"/>
  <c r="BJ339"/>
  <c r="BJ325"/>
  <c r="BJ341"/>
  <c r="BJ343" s="1"/>
  <c r="BJ333"/>
  <c r="BJ334" s="1"/>
  <c r="BJ326"/>
  <c r="BJ328"/>
  <c r="AS612" i="50"/>
  <c r="AT612" s="1"/>
  <c r="AG612"/>
  <c r="AF612"/>
  <c r="AC616"/>
  <c r="AI612"/>
  <c r="AC617"/>
  <c r="AC620"/>
  <c r="BZ703"/>
  <c r="BZ697"/>
  <c r="BZ699"/>
  <c r="BZ700"/>
  <c r="BZ698"/>
  <c r="BZ701"/>
  <c r="BZ695"/>
  <c r="BZ696"/>
  <c r="BZ1617"/>
  <c r="BZ1621"/>
  <c r="AC238"/>
  <c r="I238" s="1"/>
  <c r="N484" i="52"/>
  <c r="O631"/>
  <c r="Q631" s="1"/>
  <c r="C679"/>
  <c r="O679" s="1"/>
  <c r="Q679" s="1"/>
  <c r="O616"/>
  <c r="Q616" s="1"/>
  <c r="C664"/>
  <c r="O664" s="1"/>
  <c r="Q664" s="1"/>
  <c r="O477"/>
  <c r="Q477" s="1"/>
  <c r="C525"/>
  <c r="AL235" i="46"/>
  <c r="AL236" s="1"/>
  <c r="AL241"/>
  <c r="AL244" s="1"/>
  <c r="AL246" s="1"/>
  <c r="AL248" s="1"/>
  <c r="AL249" s="1"/>
  <c r="AL263" s="1"/>
  <c r="AL264" s="1"/>
  <c r="BJ85" i="58"/>
  <c r="BJ87" s="1"/>
  <c r="BJ77"/>
  <c r="BJ78" s="1"/>
  <c r="BJ83"/>
  <c r="BJ72"/>
  <c r="BJ66"/>
  <c r="AC295" i="50"/>
  <c r="AI288"/>
  <c r="AC291"/>
  <c r="AS288"/>
  <c r="AT288" s="1"/>
  <c r="AF288"/>
  <c r="AC294"/>
  <c r="AC296"/>
  <c r="AG288"/>
  <c r="AY968"/>
  <c r="AR1476"/>
  <c r="M1476"/>
  <c r="AL101" i="46"/>
  <c r="AL104" s="1"/>
  <c r="AL106" s="1"/>
  <c r="AL95"/>
  <c r="AL96" s="1"/>
  <c r="AR292" i="50"/>
  <c r="I292"/>
  <c r="AS292"/>
  <c r="AT292" s="1"/>
  <c r="BJ168" i="58"/>
  <c r="I168"/>
  <c r="AA168"/>
  <c r="AK168"/>
  <c r="AC1476" i="50"/>
  <c r="AC1484" s="1"/>
  <c r="AC1473"/>
  <c r="BJ194" i="58"/>
  <c r="BJ205"/>
  <c r="BJ206"/>
  <c r="BJ211"/>
  <c r="BJ213"/>
  <c r="BJ215" s="1"/>
  <c r="BJ198"/>
  <c r="AY971" i="50"/>
  <c r="BZ998"/>
  <c r="BZ994"/>
  <c r="BZ1000"/>
  <c r="BZ995"/>
  <c r="BZ997"/>
  <c r="BZ992"/>
  <c r="BZ996"/>
  <c r="E282" i="52"/>
  <c r="E281"/>
  <c r="BZ1476" i="50"/>
  <c r="BZ1479" s="1"/>
  <c r="BZ1473"/>
  <c r="AY1479"/>
  <c r="BZ1669"/>
  <c r="BZ1671"/>
  <c r="BZ1675"/>
  <c r="BZ1668"/>
  <c r="BZ1670"/>
  <c r="BZ1673"/>
  <c r="B413" i="52"/>
  <c r="B461" s="1"/>
  <c r="B509" s="1"/>
  <c r="B557" s="1"/>
  <c r="B605" s="1"/>
  <c r="B653" s="1"/>
  <c r="B366"/>
  <c r="B414" s="1"/>
  <c r="B462" s="1"/>
  <c r="B510" s="1"/>
  <c r="B558" s="1"/>
  <c r="B606" s="1"/>
  <c r="B654" s="1"/>
  <c r="BJ277" i="58"/>
  <c r="BJ279" s="1"/>
  <c r="BJ269"/>
  <c r="BJ270" s="1"/>
  <c r="BJ275"/>
  <c r="BJ259"/>
  <c r="BJ263"/>
  <c r="BJ262"/>
  <c r="AY266" i="50"/>
  <c r="AY1478"/>
  <c r="BZ1616"/>
  <c r="BJ245" i="58"/>
  <c r="BJ247"/>
  <c r="BJ237"/>
  <c r="BJ238"/>
  <c r="BJ227"/>
  <c r="BJ243"/>
  <c r="BJ231"/>
  <c r="BJ229"/>
  <c r="AY1723" i="50"/>
  <c r="AC835"/>
  <c r="AG462" i="52"/>
  <c r="C576"/>
  <c r="O528"/>
  <c r="Q528"/>
  <c r="AY1484" i="50"/>
  <c r="AF614"/>
  <c r="AG614"/>
  <c r="AN614"/>
  <c r="AI614"/>
  <c r="AR614"/>
  <c r="BJ602" s="1"/>
  <c r="AO614"/>
  <c r="BZ2028"/>
  <c r="BZ2030"/>
  <c r="AY1724"/>
  <c r="AY264"/>
  <c r="Q361" i="52"/>
  <c r="F275"/>
  <c r="B26" i="57"/>
  <c r="G190" i="38"/>
  <c r="C545" i="52"/>
  <c r="O497"/>
  <c r="Q497" s="1"/>
  <c r="AY1482" i="50"/>
  <c r="BJ134" i="58"/>
  <c r="BJ131"/>
  <c r="BJ141"/>
  <c r="BJ142" s="1"/>
  <c r="BJ147"/>
  <c r="BJ132"/>
  <c r="BJ149"/>
  <c r="BJ151" s="1"/>
  <c r="BJ136"/>
  <c r="BJ133"/>
  <c r="BJ135"/>
  <c r="BJ130"/>
  <c r="AC1716" i="50"/>
  <c r="AC1719"/>
  <c r="AC1726" s="1"/>
  <c r="BZ1860"/>
  <c r="BZ1856"/>
  <c r="BZ1858"/>
  <c r="BZ1864"/>
  <c r="BZ1857"/>
  <c r="BZ1861"/>
  <c r="M1719"/>
  <c r="AR1719"/>
  <c r="BH1709" s="1"/>
  <c r="BZ350"/>
  <c r="AY265"/>
  <c r="AE260" i="58"/>
  <c r="AV250" s="1"/>
  <c r="AC260"/>
  <c r="AD260" s="1"/>
  <c r="BZ751" i="50"/>
  <c r="BZ757"/>
  <c r="BZ474"/>
  <c r="BZ477"/>
  <c r="BZ479" s="1"/>
  <c r="AY1022"/>
  <c r="AY1726"/>
  <c r="BZ752"/>
  <c r="AY1024"/>
  <c r="C410" i="52"/>
  <c r="O362"/>
  <c r="AC261" i="50"/>
  <c r="AC268" s="1"/>
  <c r="AC258"/>
  <c r="AE100" i="58"/>
  <c r="AV90" s="1"/>
  <c r="AC100"/>
  <c r="AD100" s="1"/>
  <c r="AY485" i="50"/>
  <c r="AO1160"/>
  <c r="AQ1160" s="1"/>
  <c r="I1160"/>
  <c r="AR1160"/>
  <c r="BS1142" s="1"/>
  <c r="AC1122"/>
  <c r="AC1125"/>
  <c r="AC1130" s="1"/>
  <c r="AL340" i="46"/>
  <c r="AL341" s="1"/>
  <c r="AL346"/>
  <c r="AL349" s="1"/>
  <c r="AL351" s="1"/>
  <c r="AC177" i="50"/>
  <c r="AC180"/>
  <c r="BZ1862"/>
  <c r="AY1023"/>
  <c r="BJ179" i="58"/>
  <c r="BJ164"/>
  <c r="BJ173"/>
  <c r="BJ174"/>
  <c r="BJ181"/>
  <c r="BJ183"/>
  <c r="BJ163"/>
  <c r="BJ165"/>
  <c r="BJ166"/>
  <c r="BJ162"/>
  <c r="D533" i="52"/>
  <c r="O485"/>
  <c r="Q485" s="1"/>
  <c r="AY268" i="50"/>
  <c r="O534" i="52"/>
  <c r="Q534" s="1"/>
  <c r="C582"/>
  <c r="AY482" i="50"/>
  <c r="AC1017"/>
  <c r="AC1025" s="1"/>
  <c r="AC1014"/>
  <c r="BJ258" i="58"/>
  <c r="AY269" i="50"/>
  <c r="C457" i="52"/>
  <c r="O409"/>
  <c r="Q409" s="1"/>
  <c r="AE167" i="58"/>
  <c r="AY154" s="1"/>
  <c r="AC167"/>
  <c r="AD167" s="1"/>
  <c r="AL305" i="46"/>
  <c r="AL306" s="1"/>
  <c r="AL311"/>
  <c r="AL314" s="1"/>
  <c r="AL316" s="1"/>
  <c r="AY267" i="50"/>
  <c r="AY1481"/>
  <c r="M261"/>
  <c r="AR261"/>
  <c r="BH251" s="1"/>
  <c r="AY479"/>
  <c r="AL270" i="46"/>
  <c r="AL271" s="1"/>
  <c r="AL276"/>
  <c r="AL279" s="1"/>
  <c r="AL281" s="1"/>
  <c r="D563" i="52"/>
  <c r="M1017" i="50"/>
  <c r="AR1017"/>
  <c r="AY480"/>
  <c r="AY1020"/>
  <c r="AY1727"/>
  <c r="N464" i="52"/>
  <c r="AY970" i="50"/>
  <c r="BZ258"/>
  <c r="BZ261"/>
  <c r="BZ271" s="1"/>
  <c r="BZ275" s="1"/>
  <c r="BZ750"/>
  <c r="O463" i="52"/>
  <c r="Q463" s="1"/>
  <c r="C511"/>
  <c r="BJ117" i="58"/>
  <c r="BJ119" s="1"/>
  <c r="BJ98"/>
  <c r="BJ103"/>
  <c r="BJ102"/>
  <c r="BJ109"/>
  <c r="BJ110" s="1"/>
  <c r="BJ115"/>
  <c r="BJ101"/>
  <c r="BJ99"/>
  <c r="AY1019" i="50"/>
  <c r="AC832"/>
  <c r="N462" i="52"/>
  <c r="AY965" i="50"/>
  <c r="AS1152"/>
  <c r="AT1152" s="1"/>
  <c r="AI1152"/>
  <c r="AF1152"/>
  <c r="AC1155"/>
  <c r="AC1157"/>
  <c r="AC1158"/>
  <c r="AC1154"/>
  <c r="AG1152"/>
  <c r="AC1159"/>
  <c r="M1125"/>
  <c r="AR1125"/>
  <c r="BH1115" s="1"/>
  <c r="BH278"/>
  <c r="AY1021"/>
  <c r="AE258" i="58"/>
  <c r="AT250" s="1"/>
  <c r="AF258"/>
  <c r="AG258" s="1"/>
  <c r="AC258"/>
  <c r="AY481" i="50"/>
  <c r="AY1483"/>
  <c r="AC836"/>
  <c r="BJ260" i="58"/>
  <c r="BJ167"/>
  <c r="BZ960" i="50"/>
  <c r="BZ963"/>
  <c r="BZ973" s="1"/>
  <c r="BZ977" s="1"/>
  <c r="AK104" i="58"/>
  <c r="I104"/>
  <c r="AA104"/>
  <c r="BJ104"/>
  <c r="BZ753" i="50"/>
  <c r="BZ727"/>
  <c r="BZ724"/>
  <c r="BZ730"/>
  <c r="BZ722"/>
  <c r="BZ725"/>
  <c r="D530" i="52"/>
  <c r="O482"/>
  <c r="Q482" s="1"/>
  <c r="AR508" i="50"/>
  <c r="I508"/>
  <c r="AS508"/>
  <c r="AT508" s="1"/>
  <c r="AC1908"/>
  <c r="AC1915" s="1"/>
  <c r="AC1905"/>
  <c r="AO242"/>
  <c r="AQ242" s="1"/>
  <c r="I242"/>
  <c r="AR242"/>
  <c r="BS224" s="1"/>
  <c r="D555" i="52"/>
  <c r="O507"/>
  <c r="Q507" s="1"/>
  <c r="BZ855" i="50"/>
  <c r="BZ865" s="1"/>
  <c r="BZ852"/>
  <c r="AY1913"/>
  <c r="AR483"/>
  <c r="BP467" s="1"/>
  <c r="AN483"/>
  <c r="AF483"/>
  <c r="AJ483"/>
  <c r="AO483"/>
  <c r="AG483"/>
  <c r="AC506"/>
  <c r="AY859"/>
  <c r="AY1910"/>
  <c r="C536" i="52"/>
  <c r="O488"/>
  <c r="Q488"/>
  <c r="I538" i="50"/>
  <c r="C489" i="52"/>
  <c r="O441"/>
  <c r="Q441"/>
  <c r="AY860" i="50"/>
  <c r="F280" i="52"/>
  <c r="G222" i="38"/>
  <c r="Q393" i="52"/>
  <c r="B58" i="57"/>
  <c r="BZ1986" i="50"/>
  <c r="BZ1989"/>
  <c r="BZ1999" s="1"/>
  <c r="BZ2003" s="1"/>
  <c r="O394" i="52"/>
  <c r="C442"/>
  <c r="AC852" i="50"/>
  <c r="AC855"/>
  <c r="AC860" s="1"/>
  <c r="I860" s="1"/>
  <c r="O513" i="52"/>
  <c r="Q513" s="1"/>
  <c r="C561"/>
  <c r="C512"/>
  <c r="O464"/>
  <c r="Q464" s="1"/>
  <c r="AY1996" i="50"/>
  <c r="AY861"/>
  <c r="AY862"/>
  <c r="BZ1456"/>
  <c r="AO673"/>
  <c r="AQ673" s="1"/>
  <c r="AR673"/>
  <c r="BZ1808"/>
  <c r="BZ1810"/>
  <c r="BZ1807"/>
  <c r="BZ1802"/>
  <c r="BZ1804"/>
  <c r="BZ1805"/>
  <c r="BZ1803"/>
  <c r="AY1992"/>
  <c r="BH1844"/>
  <c r="AI477"/>
  <c r="AC482"/>
  <c r="AC480"/>
  <c r="AG477"/>
  <c r="AS477"/>
  <c r="AT477" s="1"/>
  <c r="AC484"/>
  <c r="AF477"/>
  <c r="AC485"/>
  <c r="AC479"/>
  <c r="AC481"/>
  <c r="M855"/>
  <c r="BZ1130"/>
  <c r="BZ1128"/>
  <c r="BZ1129"/>
  <c r="BZ1133"/>
  <c r="BZ1135"/>
  <c r="BZ1127"/>
  <c r="BZ1131"/>
  <c r="AR674"/>
  <c r="BS656" s="1"/>
  <c r="AO674"/>
  <c r="AQ674" s="1"/>
  <c r="I674"/>
  <c r="AR1989"/>
  <c r="M1989"/>
  <c r="AN669"/>
  <c r="AY858"/>
  <c r="BZ296"/>
  <c r="AY1991"/>
  <c r="O479" i="52"/>
  <c r="Q479" s="1"/>
  <c r="D527"/>
  <c r="BH1439" i="50"/>
  <c r="AG641"/>
  <c r="AO641"/>
  <c r="AN641"/>
  <c r="C516" i="52"/>
  <c r="O468"/>
  <c r="Q468" s="1"/>
  <c r="C579"/>
  <c r="O531"/>
  <c r="Q531"/>
  <c r="AC512" i="50"/>
  <c r="AG668"/>
  <c r="AN668"/>
  <c r="AF668"/>
  <c r="AI668"/>
  <c r="AR668"/>
  <c r="BJ656" s="1"/>
  <c r="AO668"/>
  <c r="AY1997"/>
  <c r="AF234"/>
  <c r="AC241"/>
  <c r="AC239"/>
  <c r="AC240"/>
  <c r="AC237"/>
  <c r="AG234"/>
  <c r="AS234"/>
  <c r="AT234" s="1"/>
  <c r="AI234"/>
  <c r="BZ345"/>
  <c r="BZ349"/>
  <c r="BZ352"/>
  <c r="BZ344"/>
  <c r="BZ346"/>
  <c r="BZ1132"/>
  <c r="AY1994"/>
  <c r="AG486" i="52"/>
  <c r="AE261" i="58"/>
  <c r="AW250" s="1"/>
  <c r="AF261"/>
  <c r="AG261" s="1"/>
  <c r="AF292"/>
  <c r="AG292" s="1"/>
  <c r="BH872" i="50"/>
  <c r="AY1916"/>
  <c r="C523" i="52"/>
  <c r="O475"/>
  <c r="Q475" s="1"/>
  <c r="AY1995" i="50"/>
  <c r="AY1993"/>
  <c r="BH521"/>
  <c r="BZ1351"/>
  <c r="BZ1345"/>
  <c r="BZ1344"/>
  <c r="BZ1349"/>
  <c r="BZ1346"/>
  <c r="BZ1347"/>
  <c r="AC1986"/>
  <c r="AC1989"/>
  <c r="AC1993" s="1"/>
  <c r="AG456" i="52"/>
  <c r="BZ1343" i="50"/>
  <c r="AY857"/>
  <c r="AC511"/>
  <c r="AG504"/>
  <c r="AC510"/>
  <c r="AI504"/>
  <c r="AC509"/>
  <c r="AS504"/>
  <c r="AT504" s="1"/>
  <c r="AF504"/>
  <c r="C375" i="52"/>
  <c r="O374"/>
  <c r="C422"/>
  <c r="AG639" i="50"/>
  <c r="AI639"/>
  <c r="AJ639" s="1"/>
  <c r="AF639"/>
  <c r="AS639"/>
  <c r="AT639" s="1"/>
  <c r="Q373" i="52"/>
  <c r="F283"/>
  <c r="B38" i="57"/>
  <c r="G202" i="38"/>
  <c r="B375" i="52"/>
  <c r="B423" s="1"/>
  <c r="B471" s="1"/>
  <c r="B519" s="1"/>
  <c r="B567" s="1"/>
  <c r="B615" s="1"/>
  <c r="B663" s="1"/>
  <c r="B422"/>
  <c r="B470" s="1"/>
  <c r="B518" s="1"/>
  <c r="B566" s="1"/>
  <c r="B614" s="1"/>
  <c r="B662" s="1"/>
  <c r="AS666" i="50"/>
  <c r="AT666" s="1"/>
  <c r="AF666"/>
  <c r="AG666"/>
  <c r="AI666"/>
  <c r="AC670"/>
  <c r="AC647"/>
  <c r="C469" i="52"/>
  <c r="O421"/>
  <c r="Q421" s="1"/>
  <c r="AF450" i="50"/>
  <c r="AG452" i="52"/>
  <c r="AR1908" i="50"/>
  <c r="M1908"/>
  <c r="AI531"/>
  <c r="AF531"/>
  <c r="AG531"/>
  <c r="AS531"/>
  <c r="AT531" s="1"/>
  <c r="BZ1726"/>
  <c r="BZ1727"/>
  <c r="BZ1729"/>
  <c r="BZ1725"/>
  <c r="BZ1723"/>
  <c r="BZ1724"/>
  <c r="AG483" i="52"/>
  <c r="AY1914" i="50"/>
  <c r="AC1914"/>
  <c r="AF1806"/>
  <c r="AJ1806"/>
  <c r="AG1806"/>
  <c r="AO1806"/>
  <c r="AR1806"/>
  <c r="BP1790" s="1"/>
  <c r="AN1806"/>
  <c r="BZ348"/>
  <c r="AY1915"/>
  <c r="BZ1908"/>
  <c r="BZ1918" s="1"/>
  <c r="BZ1905"/>
  <c r="D529" i="52"/>
  <c r="O481"/>
  <c r="Q481"/>
  <c r="BH1331" i="50"/>
  <c r="AY1911"/>
  <c r="AO1348"/>
  <c r="AQ1348" s="1"/>
  <c r="AR1348"/>
  <c r="BH1790"/>
  <c r="AY1912"/>
  <c r="AC642"/>
  <c r="AR642" s="1"/>
  <c r="AF1503"/>
  <c r="AC1508"/>
  <c r="AC1510"/>
  <c r="AO1510" s="1"/>
  <c r="AQ1510" s="1"/>
  <c r="AC1507"/>
  <c r="AS1507" s="1"/>
  <c r="AT1507" s="1"/>
  <c r="AG1343"/>
  <c r="AG831"/>
  <c r="AR671"/>
  <c r="AW671" s="1"/>
  <c r="AO831"/>
  <c r="AF831"/>
  <c r="AI1503"/>
  <c r="I1503" s="1"/>
  <c r="AN831"/>
  <c r="AC1506"/>
  <c r="F281" i="52"/>
  <c r="BZ1613" i="50"/>
  <c r="BZ1615"/>
  <c r="O600" i="52"/>
  <c r="Q600" s="1"/>
  <c r="AS1503" i="50"/>
  <c r="AT1503" s="1"/>
  <c r="AG720"/>
  <c r="AO885"/>
  <c r="AF885"/>
  <c r="AN885"/>
  <c r="AG885"/>
  <c r="AR885"/>
  <c r="BL872" s="1"/>
  <c r="AJ885"/>
  <c r="AI2016"/>
  <c r="AJ2016" s="1"/>
  <c r="C405" i="52"/>
  <c r="O405" s="1"/>
  <c r="Q405" s="1"/>
  <c r="AO1263" i="50"/>
  <c r="BZ1452"/>
  <c r="AG2016"/>
  <c r="C358" i="52"/>
  <c r="AJ1263" i="50"/>
  <c r="BM1250" s="1"/>
  <c r="AS2016"/>
  <c r="AT2016" s="1"/>
  <c r="AF2016"/>
  <c r="AR1263"/>
  <c r="BL1250" s="1"/>
  <c r="AC2019"/>
  <c r="AN2019" s="1"/>
  <c r="AC889"/>
  <c r="AC888"/>
  <c r="AN888" s="1"/>
  <c r="AG882"/>
  <c r="AC884"/>
  <c r="AN884" s="1"/>
  <c r="AC886"/>
  <c r="AS882"/>
  <c r="AT882" s="1"/>
  <c r="AC887"/>
  <c r="AI882"/>
  <c r="AF882"/>
  <c r="AF1263"/>
  <c r="AC890"/>
  <c r="AR890" s="1"/>
  <c r="BS872" s="1"/>
  <c r="AC2021"/>
  <c r="AS2021" s="1"/>
  <c r="AT2021" s="1"/>
  <c r="AC2022"/>
  <c r="AJ2022" s="1"/>
  <c r="AP2022" s="1"/>
  <c r="AQ2022" s="1"/>
  <c r="K2022" s="1"/>
  <c r="AC2018"/>
  <c r="AG2018" s="1"/>
  <c r="AC1590"/>
  <c r="AG1590" s="1"/>
  <c r="BZ1454"/>
  <c r="AC2023"/>
  <c r="AC2024"/>
  <c r="AR2024" s="1"/>
  <c r="BS2006" s="1"/>
  <c r="BZ1457"/>
  <c r="AC752"/>
  <c r="AS752" s="1"/>
  <c r="AC750"/>
  <c r="AJ750" s="1"/>
  <c r="AC749"/>
  <c r="AC453"/>
  <c r="AG453" s="1"/>
  <c r="AC751"/>
  <c r="AR751" s="1"/>
  <c r="AC753"/>
  <c r="AG747"/>
  <c r="BZ1451"/>
  <c r="AI747"/>
  <c r="AJ747" s="1"/>
  <c r="AC755"/>
  <c r="I755" s="1"/>
  <c r="AS747"/>
  <c r="AT747" s="1"/>
  <c r="BZ1453"/>
  <c r="AF747"/>
  <c r="BZ1459"/>
  <c r="BZ1463" s="1"/>
  <c r="AR236"/>
  <c r="BJ224" s="1"/>
  <c r="AC1641"/>
  <c r="AG236"/>
  <c r="AI236"/>
  <c r="I236" s="1"/>
  <c r="I671"/>
  <c r="AC1509"/>
  <c r="AF1509" s="1"/>
  <c r="AG1503"/>
  <c r="AC1511"/>
  <c r="I1511" s="1"/>
  <c r="AF236"/>
  <c r="AN236"/>
  <c r="BZ670"/>
  <c r="O403" i="52"/>
  <c r="Q403" s="1"/>
  <c r="AS238" i="50"/>
  <c r="AT238" s="1"/>
  <c r="AH1638"/>
  <c r="AR238"/>
  <c r="BN224" s="1"/>
  <c r="AH1962"/>
  <c r="BZ668"/>
  <c r="AG615"/>
  <c r="BZ290"/>
  <c r="BZ676"/>
  <c r="BZ678" s="1"/>
  <c r="BZ674"/>
  <c r="BZ457"/>
  <c r="I539"/>
  <c r="AO672"/>
  <c r="BZ672"/>
  <c r="AO539"/>
  <c r="AQ539" s="1"/>
  <c r="AW539" s="1"/>
  <c r="AR672"/>
  <c r="BP656" s="1"/>
  <c r="BZ669"/>
  <c r="BZ673"/>
  <c r="AC2072"/>
  <c r="AC454"/>
  <c r="AS454" s="1"/>
  <c r="AC452"/>
  <c r="AI452" s="1"/>
  <c r="AJ452" s="1"/>
  <c r="AN507"/>
  <c r="I619"/>
  <c r="AG618"/>
  <c r="AC457"/>
  <c r="AO457" s="1"/>
  <c r="AQ457" s="1"/>
  <c r="AS457" s="1"/>
  <c r="AT457" s="1"/>
  <c r="AG507"/>
  <c r="AO619"/>
  <c r="AQ619" s="1"/>
  <c r="AF618"/>
  <c r="AS995"/>
  <c r="AT995" s="1"/>
  <c r="AG450"/>
  <c r="AH450" s="1"/>
  <c r="AN618"/>
  <c r="I995"/>
  <c r="AC72" i="58"/>
  <c r="AD72" s="1"/>
  <c r="AE72"/>
  <c r="AZ58" s="1"/>
  <c r="AC456" i="50"/>
  <c r="AJ456" s="1"/>
  <c r="AR293"/>
  <c r="AZ293" s="1"/>
  <c r="I536"/>
  <c r="AJ618"/>
  <c r="AP618" s="1"/>
  <c r="AQ618" s="1"/>
  <c r="BZ240"/>
  <c r="AC455"/>
  <c r="AS455" s="1"/>
  <c r="AS450"/>
  <c r="AT450" s="1"/>
  <c r="AR536"/>
  <c r="BO521" s="1"/>
  <c r="AO618"/>
  <c r="BZ292"/>
  <c r="AI450"/>
  <c r="AO290"/>
  <c r="AF290"/>
  <c r="AR290"/>
  <c r="BJ278" s="1"/>
  <c r="AI290"/>
  <c r="AC328" i="58"/>
  <c r="AD328" s="1"/>
  <c r="AE328"/>
  <c r="AZ314" s="1"/>
  <c r="AN290" i="50"/>
  <c r="I646"/>
  <c r="AO646"/>
  <c r="AQ646" s="1"/>
  <c r="AO998"/>
  <c r="AQ998" s="1"/>
  <c r="O450" i="52"/>
  <c r="Q450" s="1"/>
  <c r="AI2070" i="50"/>
  <c r="AC2077"/>
  <c r="AG2070"/>
  <c r="AF2070"/>
  <c r="AS2070"/>
  <c r="AT2070" s="1"/>
  <c r="AC2073"/>
  <c r="AR2073" s="1"/>
  <c r="BL2060" s="1"/>
  <c r="AC2078"/>
  <c r="AC2074"/>
  <c r="AS2074" s="1"/>
  <c r="AT2074" s="1"/>
  <c r="AR998"/>
  <c r="BS980" s="1"/>
  <c r="AC1402"/>
  <c r="I1402" s="1"/>
  <c r="I1645"/>
  <c r="AO1645"/>
  <c r="AQ1645" s="1"/>
  <c r="AR1645"/>
  <c r="BR1628" s="1"/>
  <c r="AS293"/>
  <c r="AT293" s="1"/>
  <c r="C404" i="52"/>
  <c r="C452" s="1"/>
  <c r="AS1643" i="50"/>
  <c r="AT1643" s="1"/>
  <c r="AR1643"/>
  <c r="AW1643" s="1"/>
  <c r="I1643"/>
  <c r="I1638"/>
  <c r="AJ1638"/>
  <c r="BZ293"/>
  <c r="BZ294"/>
  <c r="AO538"/>
  <c r="AQ538" s="1"/>
  <c r="AG672"/>
  <c r="AJ1965"/>
  <c r="AF1965"/>
  <c r="AR1965"/>
  <c r="AN1965"/>
  <c r="AG1965"/>
  <c r="AO1965"/>
  <c r="AR1640"/>
  <c r="BJ1628" s="1"/>
  <c r="AG1640"/>
  <c r="AF1640"/>
  <c r="AI1640"/>
  <c r="I1640" s="1"/>
  <c r="AO1640"/>
  <c r="AN1640"/>
  <c r="AO1644"/>
  <c r="AR1644"/>
  <c r="BP1628" s="1"/>
  <c r="AJ1644"/>
  <c r="AX1644" s="1"/>
  <c r="AN1644"/>
  <c r="AG1644"/>
  <c r="AF1644"/>
  <c r="BZ291"/>
  <c r="AN672"/>
  <c r="AC1426"/>
  <c r="AR1426" s="1"/>
  <c r="AR1968"/>
  <c r="BP1952" s="1"/>
  <c r="AG1968"/>
  <c r="AN1968"/>
  <c r="AJ1968"/>
  <c r="AF1968"/>
  <c r="AO1968"/>
  <c r="BZ535"/>
  <c r="BZ534"/>
  <c r="BZ541"/>
  <c r="BZ536"/>
  <c r="BZ539"/>
  <c r="BZ538"/>
  <c r="I1962"/>
  <c r="AJ1962"/>
  <c r="BI1952" s="1"/>
  <c r="BZ379"/>
  <c r="BZ371"/>
  <c r="BZ376"/>
  <c r="BZ372"/>
  <c r="BZ377"/>
  <c r="BZ295"/>
  <c r="AF672"/>
  <c r="AO1969"/>
  <c r="AQ1969" s="1"/>
  <c r="I1969"/>
  <c r="AR1969"/>
  <c r="AC345"/>
  <c r="AN345" s="1"/>
  <c r="BZ858"/>
  <c r="AC1020"/>
  <c r="AG1020" s="1"/>
  <c r="AC346"/>
  <c r="AR346" s="1"/>
  <c r="AZ346" s="1"/>
  <c r="M346" s="1"/>
  <c r="AN1344"/>
  <c r="AC1212"/>
  <c r="AN1212" s="1"/>
  <c r="AI1964"/>
  <c r="I1964" s="1"/>
  <c r="AG1964"/>
  <c r="AF1964"/>
  <c r="AN1964"/>
  <c r="AR1964"/>
  <c r="BJ1952" s="1"/>
  <c r="AO1964"/>
  <c r="AF342"/>
  <c r="AR1344"/>
  <c r="BL1331" s="1"/>
  <c r="AF1344"/>
  <c r="AI1343"/>
  <c r="AJ1343" s="1"/>
  <c r="AS342"/>
  <c r="AT342" s="1"/>
  <c r="AR993"/>
  <c r="BL980" s="1"/>
  <c r="AG1344"/>
  <c r="AN1343"/>
  <c r="AC344"/>
  <c r="AR344" s="1"/>
  <c r="BJ332" s="1"/>
  <c r="AJ993"/>
  <c r="BM980" s="1"/>
  <c r="AO1344"/>
  <c r="AO1343"/>
  <c r="AI342"/>
  <c r="AJ342" s="1"/>
  <c r="BI332" s="1"/>
  <c r="AO993"/>
  <c r="AS1642"/>
  <c r="AT1642" s="1"/>
  <c r="AR1642"/>
  <c r="BN1628" s="1"/>
  <c r="I1642"/>
  <c r="AR1343"/>
  <c r="BJ1331" s="1"/>
  <c r="AG993"/>
  <c r="AS535"/>
  <c r="AT535" s="1"/>
  <c r="AN993"/>
  <c r="AC1617"/>
  <c r="AF1617" s="1"/>
  <c r="AC349"/>
  <c r="AR349" s="1"/>
  <c r="AC1912"/>
  <c r="AS1912" s="1"/>
  <c r="AT1912" s="1"/>
  <c r="AR535"/>
  <c r="AC1211"/>
  <c r="AS1211" s="1"/>
  <c r="AT1211" s="1"/>
  <c r="AS1966"/>
  <c r="AT1966" s="1"/>
  <c r="I1966"/>
  <c r="AR1966"/>
  <c r="AZ1966" s="1"/>
  <c r="M1966" s="1"/>
  <c r="AG342"/>
  <c r="AC970"/>
  <c r="AO970" s="1"/>
  <c r="AQ970" s="1"/>
  <c r="K970" s="1"/>
  <c r="I1970"/>
  <c r="AR1970"/>
  <c r="BS1952" s="1"/>
  <c r="AO1970"/>
  <c r="AQ1970" s="1"/>
  <c r="AF507"/>
  <c r="AF615"/>
  <c r="AJ507"/>
  <c r="BM494" s="1"/>
  <c r="AC965"/>
  <c r="AO965" s="1"/>
  <c r="AR615"/>
  <c r="BL602" s="1"/>
  <c r="AN615"/>
  <c r="AC1942"/>
  <c r="AO1942" s="1"/>
  <c r="AQ1942" s="1"/>
  <c r="AV1942" s="1"/>
  <c r="AC914"/>
  <c r="AS914" s="1"/>
  <c r="AT914" s="1"/>
  <c r="AJ615"/>
  <c r="AP615" s="1"/>
  <c r="AQ615" s="1"/>
  <c r="BZ319"/>
  <c r="AC912"/>
  <c r="AJ912" s="1"/>
  <c r="I912" s="1"/>
  <c r="AC1591"/>
  <c r="I1591" s="1"/>
  <c r="AS1584"/>
  <c r="AT1584" s="1"/>
  <c r="AI1584"/>
  <c r="I1584" s="1"/>
  <c r="AG1584"/>
  <c r="AF1584"/>
  <c r="AC1592"/>
  <c r="AR1592" s="1"/>
  <c r="BS1574" s="1"/>
  <c r="BZ1426"/>
  <c r="BZ1428"/>
  <c r="AC966"/>
  <c r="AN966" s="1"/>
  <c r="BZ453"/>
  <c r="AC1588"/>
  <c r="AR1588" s="1"/>
  <c r="AC969"/>
  <c r="AC1451"/>
  <c r="AI1451" s="1"/>
  <c r="AC1452"/>
  <c r="AN1452" s="1"/>
  <c r="AC1454"/>
  <c r="AS1454" s="1"/>
  <c r="AT1454" s="1"/>
  <c r="AC1455"/>
  <c r="AJ1455" s="1"/>
  <c r="BQ1439" s="1"/>
  <c r="AI1449"/>
  <c r="I1449" s="1"/>
  <c r="AF1449"/>
  <c r="AS1449"/>
  <c r="AT1449" s="1"/>
  <c r="AC1457"/>
  <c r="I1457" s="1"/>
  <c r="AC1456"/>
  <c r="I1456" s="1"/>
  <c r="AG1449"/>
  <c r="AF669"/>
  <c r="AJ669"/>
  <c r="AP669" s="1"/>
  <c r="AQ669" s="1"/>
  <c r="AC1615"/>
  <c r="AR1615" s="1"/>
  <c r="AZ1615" s="1"/>
  <c r="M1615" s="1"/>
  <c r="AF1611"/>
  <c r="AG1611"/>
  <c r="AC1613"/>
  <c r="AN1613" s="1"/>
  <c r="AS1611"/>
  <c r="AT1611" s="1"/>
  <c r="AC1618"/>
  <c r="I1618" s="1"/>
  <c r="AC1616"/>
  <c r="AR1616" s="1"/>
  <c r="AI1611"/>
  <c r="AJ1611" s="1"/>
  <c r="AO669"/>
  <c r="AG669"/>
  <c r="I1048"/>
  <c r="AC971"/>
  <c r="I971" s="1"/>
  <c r="AC296" i="58"/>
  <c r="AD296" s="1"/>
  <c r="AF296" s="1"/>
  <c r="AG296" s="1"/>
  <c r="AE296"/>
  <c r="AZ282" s="1"/>
  <c r="AS1048" i="50"/>
  <c r="AT1048" s="1"/>
  <c r="AO507"/>
  <c r="BZ1430"/>
  <c r="AC1403"/>
  <c r="AO1403" s="1"/>
  <c r="AQ1403" s="1"/>
  <c r="AG1206"/>
  <c r="AI1206"/>
  <c r="AJ1206" s="1"/>
  <c r="AC1214"/>
  <c r="I1214" s="1"/>
  <c r="AC1209"/>
  <c r="AF1209" s="1"/>
  <c r="AC1213"/>
  <c r="I1213" s="1"/>
  <c r="AF1206"/>
  <c r="AS1206"/>
  <c r="AT1206" s="1"/>
  <c r="BZ1995"/>
  <c r="AF911"/>
  <c r="AI911"/>
  <c r="AJ911" s="1"/>
  <c r="AP911" s="1"/>
  <c r="AQ911" s="1"/>
  <c r="AR911"/>
  <c r="BJ899" s="1"/>
  <c r="AO911"/>
  <c r="O524" i="52"/>
  <c r="Q524" s="1"/>
  <c r="C572"/>
  <c r="BZ861" i="50"/>
  <c r="BZ1427"/>
  <c r="BZ1994"/>
  <c r="AH1341"/>
  <c r="AC1400"/>
  <c r="AR1400" s="1"/>
  <c r="AW1400" s="1"/>
  <c r="AC1019"/>
  <c r="AN1019" s="1"/>
  <c r="BZ1398"/>
  <c r="AC941"/>
  <c r="I941" s="1"/>
  <c r="BZ860"/>
  <c r="AC1021"/>
  <c r="AR1021" s="1"/>
  <c r="AZ1021" s="1"/>
  <c r="M1021" s="1"/>
  <c r="AC347"/>
  <c r="I347" s="1"/>
  <c r="AC348"/>
  <c r="AR348" s="1"/>
  <c r="BP332" s="1"/>
  <c r="BZ1993"/>
  <c r="AC1024"/>
  <c r="AR1024" s="1"/>
  <c r="AC697"/>
  <c r="I697" s="1"/>
  <c r="AC210"/>
  <c r="AO210" s="1"/>
  <c r="AF207"/>
  <c r="AC211"/>
  <c r="AS211" s="1"/>
  <c r="AT211" s="1"/>
  <c r="AS207"/>
  <c r="AT207" s="1"/>
  <c r="AG207"/>
  <c r="AC214"/>
  <c r="AC209"/>
  <c r="AO209" s="1"/>
  <c r="AC215"/>
  <c r="AO215" s="1"/>
  <c r="AQ215" s="1"/>
  <c r="AV215" s="1"/>
  <c r="AC212"/>
  <c r="I212" s="1"/>
  <c r="AI207"/>
  <c r="AJ207" s="1"/>
  <c r="AC1483"/>
  <c r="I1483" s="1"/>
  <c r="AH1044"/>
  <c r="O460" i="52"/>
  <c r="Q460" s="1"/>
  <c r="C508"/>
  <c r="AC1399" i="50"/>
  <c r="AR1399" s="1"/>
  <c r="AW1399" s="1"/>
  <c r="AC943"/>
  <c r="AO943" s="1"/>
  <c r="AQ943" s="1"/>
  <c r="BZ857"/>
  <c r="AH288"/>
  <c r="AC938"/>
  <c r="AI938" s="1"/>
  <c r="AJ938" s="1"/>
  <c r="AC1482"/>
  <c r="AN1482" s="1"/>
  <c r="AC1727"/>
  <c r="I1727" s="1"/>
  <c r="AC1723"/>
  <c r="AR1723" s="1"/>
  <c r="BZ1425"/>
  <c r="AF909"/>
  <c r="AG909"/>
  <c r="AC916"/>
  <c r="I916" s="1"/>
  <c r="AS909"/>
  <c r="AT909" s="1"/>
  <c r="AC913"/>
  <c r="I913" s="1"/>
  <c r="AC915"/>
  <c r="AR915" s="1"/>
  <c r="BP899" s="1"/>
  <c r="AI909"/>
  <c r="I909" s="1"/>
  <c r="AC917"/>
  <c r="AO917" s="1"/>
  <c r="AQ917" s="1"/>
  <c r="BZ1424"/>
  <c r="O413" i="52"/>
  <c r="Q413"/>
  <c r="C461"/>
  <c r="AH639" i="50"/>
  <c r="BZ784"/>
  <c r="BZ786" s="1"/>
  <c r="BZ781"/>
  <c r="BZ782"/>
  <c r="BZ778"/>
  <c r="BZ780"/>
  <c r="BZ776"/>
  <c r="BZ779"/>
  <c r="G194" i="38"/>
  <c r="G276" i="52"/>
  <c r="Q365"/>
  <c r="B30" i="57"/>
  <c r="AW1967" i="50"/>
  <c r="BO1952"/>
  <c r="AZ1967"/>
  <c r="M1967" s="1"/>
  <c r="C414" i="52"/>
  <c r="O366"/>
  <c r="AC700" i="50"/>
  <c r="AH990"/>
  <c r="AS936"/>
  <c r="AT936" s="1"/>
  <c r="AF936"/>
  <c r="AG936"/>
  <c r="AI936"/>
  <c r="AJ936" s="1"/>
  <c r="AC944"/>
  <c r="AR944" s="1"/>
  <c r="BS926" s="1"/>
  <c r="AC942"/>
  <c r="AJ942" s="1"/>
  <c r="BQ926" s="1"/>
  <c r="AC939"/>
  <c r="AJ939" s="1"/>
  <c r="AR1430"/>
  <c r="BS1412" s="1"/>
  <c r="AO1430"/>
  <c r="AQ1430" s="1"/>
  <c r="AV1430" s="1"/>
  <c r="AH828"/>
  <c r="AJ1260"/>
  <c r="BI1250" s="1"/>
  <c r="I1260"/>
  <c r="BZ1213"/>
  <c r="BZ1216"/>
  <c r="BZ1220" s="1"/>
  <c r="BZ1212"/>
  <c r="BZ1211"/>
  <c r="BZ1208"/>
  <c r="BZ1210"/>
  <c r="BZ1209"/>
  <c r="BZ1054"/>
  <c r="BZ1058" s="1"/>
  <c r="BZ1050"/>
  <c r="BZ1052"/>
  <c r="BZ1048"/>
  <c r="AJ990"/>
  <c r="I990"/>
  <c r="AS315"/>
  <c r="AT315" s="1"/>
  <c r="AG315"/>
  <c r="AI315"/>
  <c r="AJ315" s="1"/>
  <c r="BI305" s="1"/>
  <c r="AC323"/>
  <c r="AC317"/>
  <c r="AN317" s="1"/>
  <c r="AF315"/>
  <c r="AH315" s="1"/>
  <c r="AC320"/>
  <c r="AR320" s="1"/>
  <c r="BO305" s="1"/>
  <c r="AC319"/>
  <c r="AS319" s="1"/>
  <c r="AT319" s="1"/>
  <c r="AC321"/>
  <c r="AF321" s="1"/>
  <c r="AC322"/>
  <c r="AR322" s="1"/>
  <c r="BZ1992"/>
  <c r="AH1152"/>
  <c r="AG774"/>
  <c r="AC778"/>
  <c r="AR778" s="1"/>
  <c r="AZ778" s="1"/>
  <c r="M778" s="1"/>
  <c r="AI774"/>
  <c r="AJ774" s="1"/>
  <c r="AF774"/>
  <c r="AS774"/>
  <c r="AT774" s="1"/>
  <c r="AC782"/>
  <c r="AR782" s="1"/>
  <c r="BS764" s="1"/>
  <c r="AC776"/>
  <c r="AR776" s="1"/>
  <c r="BJ764" s="1"/>
  <c r="AC779"/>
  <c r="I779" s="1"/>
  <c r="AC780"/>
  <c r="AR780" s="1"/>
  <c r="BP764" s="1"/>
  <c r="BZ1402"/>
  <c r="O569" i="52"/>
  <c r="Q569" s="1"/>
  <c r="C617"/>
  <c r="BZ564" i="50"/>
  <c r="BZ563"/>
  <c r="BZ560"/>
  <c r="BZ565"/>
  <c r="BZ562"/>
  <c r="BZ568"/>
  <c r="BZ572" s="1"/>
  <c r="BZ561"/>
  <c r="BZ566"/>
  <c r="BZ622"/>
  <c r="BZ626" s="1"/>
  <c r="BZ614"/>
  <c r="BZ615"/>
  <c r="BZ616"/>
  <c r="BZ619"/>
  <c r="BZ617"/>
  <c r="BZ618"/>
  <c r="BZ620"/>
  <c r="BZ211"/>
  <c r="BZ213"/>
  <c r="BZ214"/>
  <c r="BZ217"/>
  <c r="BZ219" s="1"/>
  <c r="BZ212"/>
  <c r="BZ215"/>
  <c r="BZ210"/>
  <c r="BZ209"/>
  <c r="BZ323"/>
  <c r="AJ1800"/>
  <c r="I1800"/>
  <c r="BZ1507"/>
  <c r="BZ1509"/>
  <c r="BZ1511"/>
  <c r="BZ1510"/>
  <c r="BZ1506"/>
  <c r="BZ1513"/>
  <c r="BZ1517" s="1"/>
  <c r="BZ1505"/>
  <c r="BZ1508"/>
  <c r="AC1939"/>
  <c r="I1939" s="1"/>
  <c r="I997"/>
  <c r="AO997"/>
  <c r="AQ997" s="1"/>
  <c r="K997" s="1"/>
  <c r="AR997"/>
  <c r="BZ941"/>
  <c r="BZ943"/>
  <c r="BZ944"/>
  <c r="BZ938"/>
  <c r="BZ940"/>
  <c r="BZ946"/>
  <c r="BZ950" s="1"/>
  <c r="BZ942"/>
  <c r="BZ939"/>
  <c r="BO980"/>
  <c r="AC858"/>
  <c r="AJ1044"/>
  <c r="BI1034" s="1"/>
  <c r="I1044"/>
  <c r="AH1800"/>
  <c r="AP1800" s="1"/>
  <c r="BZ1268"/>
  <c r="BZ1267"/>
  <c r="BZ1264"/>
  <c r="BZ1266"/>
  <c r="BZ1265"/>
  <c r="BZ1262"/>
  <c r="BZ1263"/>
  <c r="BZ1270"/>
  <c r="BZ1274" s="1"/>
  <c r="I1808"/>
  <c r="AR1808"/>
  <c r="AO1808"/>
  <c r="AQ1808" s="1"/>
  <c r="AS1265"/>
  <c r="AT1265" s="1"/>
  <c r="AR1265"/>
  <c r="AW1265" s="1"/>
  <c r="I1265"/>
  <c r="AC1994"/>
  <c r="AR1994" s="1"/>
  <c r="AW1994" s="1"/>
  <c r="AC1997"/>
  <c r="AO1997" s="1"/>
  <c r="AQ1997" s="1"/>
  <c r="BZ1991"/>
  <c r="AG1050"/>
  <c r="AR1050"/>
  <c r="BP1034" s="1"/>
  <c r="AO1050"/>
  <c r="AF1050"/>
  <c r="AN1050"/>
  <c r="AJ1050"/>
  <c r="AP1050" s="1"/>
  <c r="AQ1050" s="1"/>
  <c r="AW1050" s="1"/>
  <c r="BZ317"/>
  <c r="AN1803"/>
  <c r="AF1803"/>
  <c r="AR1803"/>
  <c r="AG1803"/>
  <c r="AJ1803"/>
  <c r="AP1803" s="1"/>
  <c r="AQ1803" s="1"/>
  <c r="K1803" s="1"/>
  <c r="M1803" s="1"/>
  <c r="AO1803"/>
  <c r="BZ428"/>
  <c r="BZ425"/>
  <c r="BZ426"/>
  <c r="BZ433"/>
  <c r="BZ437" s="1"/>
  <c r="BZ430"/>
  <c r="BZ431"/>
  <c r="BZ427"/>
  <c r="BZ429"/>
  <c r="AC1022"/>
  <c r="AS1022" s="1"/>
  <c r="AT1022" s="1"/>
  <c r="BZ1484"/>
  <c r="C522" i="52"/>
  <c r="O474"/>
  <c r="Q474" s="1"/>
  <c r="I1807" i="50"/>
  <c r="AO1807"/>
  <c r="AQ1807" s="1"/>
  <c r="AR1807"/>
  <c r="AC1938"/>
  <c r="AG1935"/>
  <c r="AF1935"/>
  <c r="AI1935"/>
  <c r="I1935" s="1"/>
  <c r="AC1937"/>
  <c r="AS1935"/>
  <c r="AT1935" s="1"/>
  <c r="AC1943"/>
  <c r="I1943" s="1"/>
  <c r="AC1941"/>
  <c r="AF1941" s="1"/>
  <c r="BZ1700"/>
  <c r="BZ1694"/>
  <c r="BZ1702"/>
  <c r="BZ1704" s="1"/>
  <c r="BZ1696"/>
  <c r="BZ1695"/>
  <c r="BZ509"/>
  <c r="BZ514"/>
  <c r="BZ518" s="1"/>
  <c r="BZ510"/>
  <c r="BZ511"/>
  <c r="BZ508"/>
  <c r="BZ507"/>
  <c r="BZ512"/>
  <c r="BZ506"/>
  <c r="AR1805"/>
  <c r="AW1805" s="1"/>
  <c r="AS1805"/>
  <c r="AT1805" s="1"/>
  <c r="I1805"/>
  <c r="BZ1400"/>
  <c r="BZ1081"/>
  <c r="BZ1085" s="1"/>
  <c r="BZ1075"/>
  <c r="BZ1073"/>
  <c r="BZ1074"/>
  <c r="BZ1079"/>
  <c r="BZ1078"/>
  <c r="AJ1262"/>
  <c r="AP1262" s="1"/>
  <c r="AQ1262" s="1"/>
  <c r="I1262"/>
  <c r="I994"/>
  <c r="AS994"/>
  <c r="AT994" s="1"/>
  <c r="AR994"/>
  <c r="AZ994" s="1"/>
  <c r="AC857"/>
  <c r="AR857" s="1"/>
  <c r="BJ845" s="1"/>
  <c r="BZ1483"/>
  <c r="I1052"/>
  <c r="AR1052"/>
  <c r="BS1034" s="1"/>
  <c r="AO1052"/>
  <c r="AQ1052" s="1"/>
  <c r="AV1052" s="1"/>
  <c r="AG1802"/>
  <c r="AF1802"/>
  <c r="AI1802"/>
  <c r="AJ1802" s="1"/>
  <c r="AN1802"/>
  <c r="AO1802"/>
  <c r="AR1802"/>
  <c r="BJ1790" s="1"/>
  <c r="BZ2073"/>
  <c r="BZ2072"/>
  <c r="BZ2075"/>
  <c r="BZ2078"/>
  <c r="BZ2077"/>
  <c r="BZ2080"/>
  <c r="BZ2082" s="1"/>
  <c r="BZ2076"/>
  <c r="BZ2074"/>
  <c r="BZ322"/>
  <c r="AS1804"/>
  <c r="AT1804" s="1"/>
  <c r="AR1804"/>
  <c r="AZ1804" s="1"/>
  <c r="M1804" s="1"/>
  <c r="I1804"/>
  <c r="I1349"/>
  <c r="AR1349"/>
  <c r="BS1331" s="1"/>
  <c r="AO1349"/>
  <c r="AQ1349" s="1"/>
  <c r="AV1349" s="1"/>
  <c r="AC695"/>
  <c r="AC318"/>
  <c r="BZ1640"/>
  <c r="BZ1645"/>
  <c r="BZ1646"/>
  <c r="BZ1648"/>
  <c r="BZ1650" s="1"/>
  <c r="BZ1643"/>
  <c r="BZ1644"/>
  <c r="BZ1641"/>
  <c r="BZ1642"/>
  <c r="I1345"/>
  <c r="AR1345"/>
  <c r="AS1345"/>
  <c r="AT1345" s="1"/>
  <c r="BZ1397"/>
  <c r="AC861"/>
  <c r="BZ452"/>
  <c r="BZ460"/>
  <c r="BZ464" s="1"/>
  <c r="BZ455"/>
  <c r="I1346"/>
  <c r="AS1346"/>
  <c r="AT1346" s="1"/>
  <c r="AR1346"/>
  <c r="AZ1346" s="1"/>
  <c r="M1346" s="1"/>
  <c r="C628" i="52"/>
  <c r="O580"/>
  <c r="Q580" s="1"/>
  <c r="BZ1158" i="50"/>
  <c r="BZ1155"/>
  <c r="BZ1162"/>
  <c r="BZ1166" s="1"/>
  <c r="BZ1159"/>
  <c r="BZ1154"/>
  <c r="BZ1157"/>
  <c r="BZ1160"/>
  <c r="BZ1156"/>
  <c r="BZ321"/>
  <c r="AI1422"/>
  <c r="I1422" s="1"/>
  <c r="AF1422"/>
  <c r="AG1422"/>
  <c r="AC1425"/>
  <c r="AG1425" s="1"/>
  <c r="AC1427"/>
  <c r="AS1427" s="1"/>
  <c r="AT1427" s="1"/>
  <c r="AC1424"/>
  <c r="AS1422"/>
  <c r="AT1422" s="1"/>
  <c r="AC1428"/>
  <c r="AC1429"/>
  <c r="AO1429" s="1"/>
  <c r="AQ1429" s="1"/>
  <c r="AS1429" s="1"/>
  <c r="AT1429" s="1"/>
  <c r="BZ1588"/>
  <c r="BZ1589"/>
  <c r="BZ1594"/>
  <c r="BZ1596" s="1"/>
  <c r="BZ1586"/>
  <c r="BZ1591"/>
  <c r="BZ1592"/>
  <c r="BZ1587"/>
  <c r="BZ1590"/>
  <c r="AO1347"/>
  <c r="AG1347"/>
  <c r="AF1347"/>
  <c r="AN1347"/>
  <c r="AJ1347"/>
  <c r="AR1347"/>
  <c r="BP1331" s="1"/>
  <c r="BZ1401"/>
  <c r="AS1395"/>
  <c r="AT1395" s="1"/>
  <c r="AF1395"/>
  <c r="AI1395"/>
  <c r="AJ1395" s="1"/>
  <c r="BI1385" s="1"/>
  <c r="AG1395"/>
  <c r="AR1268"/>
  <c r="I1268"/>
  <c r="AO1268"/>
  <c r="AQ1268" s="1"/>
  <c r="AW1268" s="1"/>
  <c r="BZ456"/>
  <c r="AC696"/>
  <c r="AR696" s="1"/>
  <c r="BL683" s="1"/>
  <c r="AG693"/>
  <c r="AF693"/>
  <c r="AI693"/>
  <c r="AJ693" s="1"/>
  <c r="AS693"/>
  <c r="AT693" s="1"/>
  <c r="AC699"/>
  <c r="AC698"/>
  <c r="AS698" s="1"/>
  <c r="AT698" s="1"/>
  <c r="BZ1399"/>
  <c r="BZ242"/>
  <c r="BZ241"/>
  <c r="BZ244"/>
  <c r="BZ246" s="1"/>
  <c r="BZ239"/>
  <c r="BZ236"/>
  <c r="BZ238"/>
  <c r="BZ1967"/>
  <c r="BZ1972"/>
  <c r="BZ1974" s="1"/>
  <c r="BZ1966"/>
  <c r="BZ1970"/>
  <c r="BZ1964"/>
  <c r="BZ1965"/>
  <c r="BZ1968"/>
  <c r="BZ1969"/>
  <c r="AC1724"/>
  <c r="AS1264"/>
  <c r="AT1264" s="1"/>
  <c r="I1264"/>
  <c r="AR1264"/>
  <c r="BN1250" s="1"/>
  <c r="BZ1429"/>
  <c r="BZ320"/>
  <c r="AJ1341"/>
  <c r="BI1331" s="1"/>
  <c r="I1341"/>
  <c r="BZ888"/>
  <c r="BZ890"/>
  <c r="BZ887"/>
  <c r="BZ889"/>
  <c r="BZ892"/>
  <c r="BZ894" s="1"/>
  <c r="BZ884"/>
  <c r="BZ885"/>
  <c r="BZ886"/>
  <c r="AC1401"/>
  <c r="AR1401" s="1"/>
  <c r="BP1385" s="1"/>
  <c r="BZ1482"/>
  <c r="AN1266"/>
  <c r="AO1266"/>
  <c r="AR1266"/>
  <c r="BP1250" s="1"/>
  <c r="AF1266"/>
  <c r="AG1266"/>
  <c r="AJ1266"/>
  <c r="I1266" s="1"/>
  <c r="BZ965"/>
  <c r="BZ1478"/>
  <c r="I1267"/>
  <c r="AO1267"/>
  <c r="AQ1267" s="1"/>
  <c r="AR1267"/>
  <c r="BZ454"/>
  <c r="AH1260"/>
  <c r="BZ318"/>
  <c r="BZ1403"/>
  <c r="AR992"/>
  <c r="BJ980" s="1"/>
  <c r="AO992"/>
  <c r="AI992"/>
  <c r="AJ992" s="1"/>
  <c r="AX992" s="1"/>
  <c r="AN992"/>
  <c r="AG992"/>
  <c r="AF992"/>
  <c r="BZ1108"/>
  <c r="BZ1110" s="1"/>
  <c r="BZ1104"/>
  <c r="BZ1106"/>
  <c r="BZ1101"/>
  <c r="BZ1102"/>
  <c r="BZ1105"/>
  <c r="BZ1103"/>
  <c r="BZ1100"/>
  <c r="AO996"/>
  <c r="AR996"/>
  <c r="BP980" s="1"/>
  <c r="AG996"/>
  <c r="AN996"/>
  <c r="AJ996"/>
  <c r="I996" s="1"/>
  <c r="AF996"/>
  <c r="AC1398"/>
  <c r="BZ912"/>
  <c r="BZ914"/>
  <c r="BZ911"/>
  <c r="BZ917"/>
  <c r="BZ919"/>
  <c r="BZ921" s="1"/>
  <c r="BZ913"/>
  <c r="BZ916"/>
  <c r="BZ915"/>
  <c r="O511" i="52"/>
  <c r="Q511" s="1"/>
  <c r="C559"/>
  <c r="AJ294" i="50"/>
  <c r="I294" s="1"/>
  <c r="AG294"/>
  <c r="AF294"/>
  <c r="AN294"/>
  <c r="AO294"/>
  <c r="AR294"/>
  <c r="BP278" s="1"/>
  <c r="BZ967"/>
  <c r="Q362" i="52"/>
  <c r="B27" i="57"/>
  <c r="G191" i="38"/>
  <c r="G275" i="52"/>
  <c r="BZ487" i="50"/>
  <c r="BZ489" s="1"/>
  <c r="BZ483"/>
  <c r="I614"/>
  <c r="AJ614"/>
  <c r="BZ971"/>
  <c r="BZ485"/>
  <c r="C458" i="52"/>
  <c r="O410"/>
  <c r="Q410" s="1"/>
  <c r="D611"/>
  <c r="BZ267" i="50"/>
  <c r="AC1023"/>
  <c r="BZ761"/>
  <c r="BZ759"/>
  <c r="BZ1481"/>
  <c r="BZ1486"/>
  <c r="BZ1490" s="1"/>
  <c r="AG291"/>
  <c r="AF291"/>
  <c r="AJ291"/>
  <c r="AO291"/>
  <c r="AR291"/>
  <c r="AN291"/>
  <c r="AO1159"/>
  <c r="AQ1159" s="1"/>
  <c r="AR1159"/>
  <c r="AZ1160" s="1"/>
  <c r="I1159"/>
  <c r="AC267"/>
  <c r="AG267" s="1"/>
  <c r="AC1725"/>
  <c r="AO1725" s="1"/>
  <c r="AF1719"/>
  <c r="AG1719"/>
  <c r="AI1719"/>
  <c r="AJ1719" s="1"/>
  <c r="BI1709" s="1"/>
  <c r="AS1719"/>
  <c r="AT1719" s="1"/>
  <c r="AC1722"/>
  <c r="AO1722" s="1"/>
  <c r="AC1721"/>
  <c r="AG1721" s="1"/>
  <c r="C546" i="52"/>
  <c r="O498"/>
  <c r="Q498" s="1"/>
  <c r="I288" i="50"/>
  <c r="AJ288"/>
  <c r="AX294" s="1"/>
  <c r="BL818"/>
  <c r="BZ482"/>
  <c r="AR295"/>
  <c r="BR278" s="1"/>
  <c r="I295"/>
  <c r="AO295"/>
  <c r="AQ295" s="1"/>
  <c r="AS295" s="1"/>
  <c r="AT295" s="1"/>
  <c r="I831"/>
  <c r="BZ734"/>
  <c r="BZ732"/>
  <c r="AR836"/>
  <c r="AO836"/>
  <c r="AQ836" s="1"/>
  <c r="AS836" s="1"/>
  <c r="AT836" s="1"/>
  <c r="I836"/>
  <c r="AN1158"/>
  <c r="AO1158"/>
  <c r="AJ1158"/>
  <c r="BQ1142" s="1"/>
  <c r="AG1158"/>
  <c r="AF1158"/>
  <c r="AR1158"/>
  <c r="BP1142" s="1"/>
  <c r="O582" i="52"/>
  <c r="Q582" s="1"/>
  <c r="C630"/>
  <c r="BZ265" i="50"/>
  <c r="AC1481"/>
  <c r="AS1481" s="1"/>
  <c r="AT1481" s="1"/>
  <c r="AS1476"/>
  <c r="AT1476" s="1"/>
  <c r="AF1476"/>
  <c r="AG1476"/>
  <c r="AI1476"/>
  <c r="AR617"/>
  <c r="AZ617" s="1"/>
  <c r="M617" s="1"/>
  <c r="I617"/>
  <c r="AS617"/>
  <c r="AT617" s="1"/>
  <c r="BZ969"/>
  <c r="BZ263"/>
  <c r="AO1154"/>
  <c r="AF1154"/>
  <c r="AR1154"/>
  <c r="BJ1142" s="1"/>
  <c r="AG1154"/>
  <c r="AN1154"/>
  <c r="AI1154"/>
  <c r="AJ1154" s="1"/>
  <c r="AP1154" s="1"/>
  <c r="AQ1154" s="1"/>
  <c r="AS1157"/>
  <c r="AT1157" s="1"/>
  <c r="AR1157"/>
  <c r="AZ1157" s="1"/>
  <c r="M1157" s="1"/>
  <c r="I1157"/>
  <c r="AC265"/>
  <c r="AR265" s="1"/>
  <c r="AZ265" s="1"/>
  <c r="M265" s="1"/>
  <c r="C624" i="52"/>
  <c r="O576"/>
  <c r="Q576" s="1"/>
  <c r="AJ612" i="50"/>
  <c r="I612"/>
  <c r="AC263"/>
  <c r="AI263" s="1"/>
  <c r="AJ263" s="1"/>
  <c r="C593" i="52"/>
  <c r="O545"/>
  <c r="Q545" s="1"/>
  <c r="AO1155" i="50"/>
  <c r="AR1155"/>
  <c r="AJ1155"/>
  <c r="AN1155"/>
  <c r="AF1155"/>
  <c r="AG1155"/>
  <c r="AC187"/>
  <c r="AO187" s="1"/>
  <c r="AQ187" s="1"/>
  <c r="AF180"/>
  <c r="AG180"/>
  <c r="AS180"/>
  <c r="AT180" s="1"/>
  <c r="AI180"/>
  <c r="I180" s="1"/>
  <c r="AC182"/>
  <c r="AF182" s="1"/>
  <c r="AC185"/>
  <c r="AR185" s="1"/>
  <c r="AW185" s="1"/>
  <c r="AC184"/>
  <c r="I184" s="1"/>
  <c r="AC188"/>
  <c r="I188" s="1"/>
  <c r="AC183"/>
  <c r="AJ183" s="1"/>
  <c r="I183" s="1"/>
  <c r="AC186"/>
  <c r="AF186" s="1"/>
  <c r="BH1466"/>
  <c r="BZ968"/>
  <c r="AR616"/>
  <c r="AW616" s="1"/>
  <c r="I616"/>
  <c r="AS616"/>
  <c r="AT616" s="1"/>
  <c r="AC1480"/>
  <c r="AS1480" s="1"/>
  <c r="AT1480" s="1"/>
  <c r="AC1911"/>
  <c r="BZ480"/>
  <c r="AF167" i="58"/>
  <c r="AG167" s="1"/>
  <c r="K167"/>
  <c r="M167" s="1"/>
  <c r="BZ268" i="50"/>
  <c r="BZ1679"/>
  <c r="BZ1677"/>
  <c r="AH612"/>
  <c r="BH953"/>
  <c r="BZ1480"/>
  <c r="AS963"/>
  <c r="AT963" s="1"/>
  <c r="AF963"/>
  <c r="AG963"/>
  <c r="AI963"/>
  <c r="I963" s="1"/>
  <c r="BZ481"/>
  <c r="BZ705"/>
  <c r="BZ707"/>
  <c r="AI830"/>
  <c r="AJ830" s="1"/>
  <c r="AN830"/>
  <c r="AR830"/>
  <c r="BJ818" s="1"/>
  <c r="AG830"/>
  <c r="AF830"/>
  <c r="AO830"/>
  <c r="BZ966"/>
  <c r="I1152"/>
  <c r="AJ1152"/>
  <c r="AE168" i="58"/>
  <c r="AZ154" s="1"/>
  <c r="AC168"/>
  <c r="AD168" s="1"/>
  <c r="AF834" i="50"/>
  <c r="AJ834"/>
  <c r="BQ818" s="1"/>
  <c r="AO834"/>
  <c r="AG834"/>
  <c r="AN834"/>
  <c r="AR834"/>
  <c r="BP818" s="1"/>
  <c r="AC104" i="58"/>
  <c r="AD104" s="1"/>
  <c r="AE104"/>
  <c r="AZ90" s="1"/>
  <c r="AC1478" i="50"/>
  <c r="AI1478" s="1"/>
  <c r="I833"/>
  <c r="AR833"/>
  <c r="AZ833" s="1"/>
  <c r="M833" s="1"/>
  <c r="AS833"/>
  <c r="AT833" s="1"/>
  <c r="BZ273"/>
  <c r="I747"/>
  <c r="C499" i="52"/>
  <c r="O451"/>
  <c r="Q451"/>
  <c r="AH504" i="50"/>
  <c r="AC1916"/>
  <c r="BZ975"/>
  <c r="BZ970"/>
  <c r="O457" i="52"/>
  <c r="Q457" s="1"/>
  <c r="C505"/>
  <c r="AG261" i="50"/>
  <c r="AF261"/>
  <c r="AI261"/>
  <c r="I261" s="1"/>
  <c r="AS261"/>
  <c r="AT261" s="1"/>
  <c r="O530" i="52"/>
  <c r="Q530" s="1"/>
  <c r="D578"/>
  <c r="BZ269" i="50"/>
  <c r="AC264"/>
  <c r="AJ264" s="1"/>
  <c r="AP264" s="1"/>
  <c r="AQ264" s="1"/>
  <c r="BZ1625"/>
  <c r="BZ1623"/>
  <c r="AF750"/>
  <c r="AC269"/>
  <c r="I269" s="1"/>
  <c r="D581" i="52"/>
  <c r="O533"/>
  <c r="Q533" s="1"/>
  <c r="BZ264" i="50"/>
  <c r="AC1479"/>
  <c r="AN1479" s="1"/>
  <c r="I828"/>
  <c r="AJ828"/>
  <c r="BI818" s="1"/>
  <c r="AF1017"/>
  <c r="AI1017"/>
  <c r="I1017" s="1"/>
  <c r="AG1017"/>
  <c r="AS1017"/>
  <c r="AT1017" s="1"/>
  <c r="AR620"/>
  <c r="AZ620" s="1"/>
  <c r="AO620"/>
  <c r="AQ620" s="1"/>
  <c r="K620" s="1"/>
  <c r="I620"/>
  <c r="BZ1760"/>
  <c r="BZ1758"/>
  <c r="BZ484"/>
  <c r="BH1007"/>
  <c r="BZ266"/>
  <c r="AC266"/>
  <c r="I266" s="1"/>
  <c r="C573" i="52"/>
  <c r="O525"/>
  <c r="Q525" s="1"/>
  <c r="C359"/>
  <c r="O358"/>
  <c r="C406"/>
  <c r="AC1132" i="50"/>
  <c r="I1132" s="1"/>
  <c r="AC1133"/>
  <c r="I1133" s="1"/>
  <c r="AS1125"/>
  <c r="AT1125" s="1"/>
  <c r="AC1127"/>
  <c r="AF1127" s="1"/>
  <c r="AF1125"/>
  <c r="AI1125"/>
  <c r="AJ1125" s="1"/>
  <c r="AC1128"/>
  <c r="AO1128" s="1"/>
  <c r="AG1125"/>
  <c r="AC1131"/>
  <c r="AO1131" s="1"/>
  <c r="AC1129"/>
  <c r="AS1129" s="1"/>
  <c r="AT1129" s="1"/>
  <c r="AS832"/>
  <c r="AT832" s="1"/>
  <c r="AR832"/>
  <c r="I832"/>
  <c r="I835"/>
  <c r="AO835"/>
  <c r="AQ835" s="1"/>
  <c r="AV835" s="1"/>
  <c r="AR835"/>
  <c r="AZ836" s="1"/>
  <c r="BZ1004"/>
  <c r="BZ1002"/>
  <c r="AH477"/>
  <c r="AW1048"/>
  <c r="AZ1048"/>
  <c r="M1048" s="1"/>
  <c r="BZ1866"/>
  <c r="BZ1868"/>
  <c r="AW292"/>
  <c r="AZ292"/>
  <c r="BN278"/>
  <c r="I296"/>
  <c r="AO296"/>
  <c r="AQ296" s="1"/>
  <c r="AR296"/>
  <c r="BS278" s="1"/>
  <c r="AC967"/>
  <c r="I967" s="1"/>
  <c r="BR1331"/>
  <c r="BZ1912"/>
  <c r="BZ1915"/>
  <c r="AZ671"/>
  <c r="M671" s="1"/>
  <c r="BO656"/>
  <c r="AZ238"/>
  <c r="M238" s="1"/>
  <c r="B39" i="57"/>
  <c r="G203" i="38"/>
  <c r="Q374" i="52"/>
  <c r="G283"/>
  <c r="AS1989" i="50"/>
  <c r="AT1989" s="1"/>
  <c r="AG1989"/>
  <c r="AI1989"/>
  <c r="AJ1989" s="1"/>
  <c r="BI1979" s="1"/>
  <c r="AF1989"/>
  <c r="AH1989" s="1"/>
  <c r="I234"/>
  <c r="AJ234"/>
  <c r="BI224" s="1"/>
  <c r="AS482"/>
  <c r="AT482" s="1"/>
  <c r="I482"/>
  <c r="AR482"/>
  <c r="AZ482" s="1"/>
  <c r="M482" s="1"/>
  <c r="I1912"/>
  <c r="BZ1733"/>
  <c r="BZ1731"/>
  <c r="I454"/>
  <c r="C423" i="52"/>
  <c r="O375"/>
  <c r="I477" i="50"/>
  <c r="AJ477"/>
  <c r="BI467" s="1"/>
  <c r="AO647"/>
  <c r="AQ647" s="1"/>
  <c r="AR647"/>
  <c r="BS629" s="1"/>
  <c r="I647"/>
  <c r="AG237"/>
  <c r="AJ237"/>
  <c r="AO237"/>
  <c r="AR237"/>
  <c r="BL224" s="1"/>
  <c r="AN237"/>
  <c r="AF237"/>
  <c r="AC1991"/>
  <c r="AF1991" s="1"/>
  <c r="AS860"/>
  <c r="BQ467"/>
  <c r="I483"/>
  <c r="AP483"/>
  <c r="AQ483" s="1"/>
  <c r="AW483" s="1"/>
  <c r="AS670"/>
  <c r="AT670" s="1"/>
  <c r="AR670"/>
  <c r="AZ670" s="1"/>
  <c r="M670" s="1"/>
  <c r="I670"/>
  <c r="I1993"/>
  <c r="AJ240"/>
  <c r="BQ224" s="1"/>
  <c r="AR240"/>
  <c r="BP224" s="1"/>
  <c r="AO240"/>
  <c r="AF240"/>
  <c r="AN240"/>
  <c r="AG240"/>
  <c r="AZ674"/>
  <c r="AZ673"/>
  <c r="BR656"/>
  <c r="BR521"/>
  <c r="AZ538"/>
  <c r="I666"/>
  <c r="AJ666"/>
  <c r="AX672" s="1"/>
  <c r="AR239"/>
  <c r="AZ239" s="1"/>
  <c r="M239" s="1"/>
  <c r="I239"/>
  <c r="AS239"/>
  <c r="AT239" s="1"/>
  <c r="O561" i="52"/>
  <c r="Q561"/>
  <c r="C609"/>
  <c r="AR456" i="50"/>
  <c r="BP440" s="1"/>
  <c r="AG456"/>
  <c r="AO456"/>
  <c r="BZ680"/>
  <c r="AR241"/>
  <c r="BR224" s="1"/>
  <c r="I241"/>
  <c r="AO241"/>
  <c r="AQ241" s="1"/>
  <c r="K241" s="1"/>
  <c r="C564" i="52"/>
  <c r="O516"/>
  <c r="Q516"/>
  <c r="AH666" i="50"/>
  <c r="AH234"/>
  <c r="AV1510"/>
  <c r="AN506"/>
  <c r="AF506"/>
  <c r="AR506"/>
  <c r="BJ494" s="1"/>
  <c r="AG506"/>
  <c r="AO506"/>
  <c r="AI506"/>
  <c r="AJ506" s="1"/>
  <c r="AP506" s="1"/>
  <c r="AQ506" s="1"/>
  <c r="D577" i="52"/>
  <c r="O529"/>
  <c r="Q529"/>
  <c r="I1806" i="50"/>
  <c r="AP1806"/>
  <c r="AQ1806" s="1"/>
  <c r="AS1806" s="1"/>
  <c r="AT1806" s="1"/>
  <c r="BQ1790"/>
  <c r="AN453"/>
  <c r="AR453"/>
  <c r="BL440" s="1"/>
  <c r="AJ453"/>
  <c r="BM440" s="1"/>
  <c r="AS855"/>
  <c r="AT855" s="1"/>
  <c r="AG855"/>
  <c r="AI855"/>
  <c r="AJ855" s="1"/>
  <c r="AF855"/>
  <c r="AH855" s="1"/>
  <c r="AP672"/>
  <c r="AQ672" s="1"/>
  <c r="AS672" s="1"/>
  <c r="AT672" s="1"/>
  <c r="BQ656"/>
  <c r="O523" i="52"/>
  <c r="Q523" s="1"/>
  <c r="C571"/>
  <c r="AV674" i="50"/>
  <c r="AW674"/>
  <c r="C537" i="52"/>
  <c r="O489"/>
  <c r="Q489"/>
  <c r="AR509" i="50"/>
  <c r="AW509" s="1"/>
  <c r="AS509"/>
  <c r="AT509" s="1"/>
  <c r="I509"/>
  <c r="AC1995"/>
  <c r="AJ1995" s="1"/>
  <c r="BZ2001"/>
  <c r="AJ504"/>
  <c r="BI494" s="1"/>
  <c r="I504"/>
  <c r="I669"/>
  <c r="C560" i="52"/>
  <c r="O512"/>
  <c r="Q512"/>
  <c r="AI1908" i="50"/>
  <c r="AJ1908" s="1"/>
  <c r="BI1898" s="1"/>
  <c r="AS1908"/>
  <c r="AT1908" s="1"/>
  <c r="AG1908"/>
  <c r="AF1908"/>
  <c r="BH1898"/>
  <c r="AO510"/>
  <c r="AN510"/>
  <c r="AR510"/>
  <c r="BP494" s="1"/>
  <c r="AF510"/>
  <c r="AG510"/>
  <c r="AJ510"/>
  <c r="AP510" s="1"/>
  <c r="AQ510" s="1"/>
  <c r="D575" i="52"/>
  <c r="O527"/>
  <c r="Q527"/>
  <c r="BZ1814" i="50"/>
  <c r="BZ1812"/>
  <c r="AC1910"/>
  <c r="AO1910" s="1"/>
  <c r="C517" i="52"/>
  <c r="O469"/>
  <c r="Q469" s="1"/>
  <c r="BZ1997" i="50"/>
  <c r="BZ1139"/>
  <c r="BZ1137"/>
  <c r="BZ1910"/>
  <c r="AZ508"/>
  <c r="M508" s="1"/>
  <c r="BN494"/>
  <c r="AW508"/>
  <c r="I511"/>
  <c r="AR511"/>
  <c r="BR494" s="1"/>
  <c r="AO511"/>
  <c r="AQ511" s="1"/>
  <c r="AV511" s="1"/>
  <c r="I481"/>
  <c r="AS481"/>
  <c r="AT481" s="1"/>
  <c r="AR481"/>
  <c r="AW481" s="1"/>
  <c r="I639"/>
  <c r="BZ1355"/>
  <c r="BZ1353"/>
  <c r="BZ1916"/>
  <c r="AG345"/>
  <c r="AR345"/>
  <c r="BL332" s="1"/>
  <c r="BH1979"/>
  <c r="AF479"/>
  <c r="AG479"/>
  <c r="AI479"/>
  <c r="I479" s="1"/>
  <c r="AO479"/>
  <c r="AR479"/>
  <c r="BJ467" s="1"/>
  <c r="AN479"/>
  <c r="AH531"/>
  <c r="I512"/>
  <c r="AR512"/>
  <c r="AO512"/>
  <c r="AQ512" s="1"/>
  <c r="AS512" s="1"/>
  <c r="AT512" s="1"/>
  <c r="I485"/>
  <c r="AO485"/>
  <c r="AQ485" s="1"/>
  <c r="AS485" s="1"/>
  <c r="AT485" s="1"/>
  <c r="AR485"/>
  <c r="AC1992"/>
  <c r="AG1992" s="1"/>
  <c r="I885"/>
  <c r="AP885"/>
  <c r="AQ885" s="1"/>
  <c r="AW885" s="1"/>
  <c r="BM872"/>
  <c r="AV1348"/>
  <c r="O442" i="52"/>
  <c r="Q442" s="1"/>
  <c r="C490"/>
  <c r="O536"/>
  <c r="Q536"/>
  <c r="C584"/>
  <c r="AR1914" i="50"/>
  <c r="BP1898" s="1"/>
  <c r="AG1914"/>
  <c r="AN1914"/>
  <c r="AF1914"/>
  <c r="AJ1914"/>
  <c r="BQ1898" s="1"/>
  <c r="AO1914"/>
  <c r="BZ1911"/>
  <c r="AJ531"/>
  <c r="I531"/>
  <c r="BZ356"/>
  <c r="BZ354"/>
  <c r="I668"/>
  <c r="AJ668"/>
  <c r="BK656" s="1"/>
  <c r="O579" i="52"/>
  <c r="Q579" s="1"/>
  <c r="C627"/>
  <c r="I484" i="50"/>
  <c r="AO484"/>
  <c r="AQ484" s="1"/>
  <c r="AR484"/>
  <c r="BR467" s="1"/>
  <c r="BZ1996"/>
  <c r="G280" i="52"/>
  <c r="G223" i="38"/>
  <c r="B59" i="57"/>
  <c r="Q394" i="52"/>
  <c r="BZ1913" i="50"/>
  <c r="AN642"/>
  <c r="AJ642"/>
  <c r="I642" s="1"/>
  <c r="AO642"/>
  <c r="BZ1914"/>
  <c r="AC1913"/>
  <c r="I1913" s="1"/>
  <c r="AC1996"/>
  <c r="BZ859"/>
  <c r="D603" i="52"/>
  <c r="O555"/>
  <c r="Q555" s="1"/>
  <c r="O422"/>
  <c r="Q422" s="1"/>
  <c r="C470"/>
  <c r="I290" i="50"/>
  <c r="AJ290"/>
  <c r="AP290" s="1"/>
  <c r="AQ290" s="1"/>
  <c r="AJ480"/>
  <c r="BM467" s="1"/>
  <c r="AF480"/>
  <c r="AR480"/>
  <c r="AG480"/>
  <c r="AO480"/>
  <c r="AN480"/>
  <c r="AC859"/>
  <c r="I859" s="1"/>
  <c r="C453" i="52"/>
  <c r="AR2021" i="50"/>
  <c r="BO2006" s="1"/>
  <c r="I2021"/>
  <c r="AO1506"/>
  <c r="I1508"/>
  <c r="AR1508"/>
  <c r="AW1508" s="1"/>
  <c r="AS1508"/>
  <c r="AT1508" s="1"/>
  <c r="AH882"/>
  <c r="AR2023"/>
  <c r="BR2006" s="1"/>
  <c r="I2023"/>
  <c r="I2016"/>
  <c r="AP1263"/>
  <c r="AQ1263" s="1"/>
  <c r="AS1263" s="1"/>
  <c r="AT1263" s="1"/>
  <c r="AF1590"/>
  <c r="I1263"/>
  <c r="I887"/>
  <c r="AS887"/>
  <c r="AT887" s="1"/>
  <c r="AR887"/>
  <c r="AZ887" s="1"/>
  <c r="M887" s="1"/>
  <c r="AR886"/>
  <c r="AZ886" s="1"/>
  <c r="M886" s="1"/>
  <c r="AS886"/>
  <c r="AT886" s="1"/>
  <c r="I886"/>
  <c r="AO884"/>
  <c r="AR889"/>
  <c r="BC888" s="1"/>
  <c r="BD888" s="1"/>
  <c r="I889"/>
  <c r="AO889"/>
  <c r="AQ889" s="1"/>
  <c r="AO2023"/>
  <c r="AQ2023" s="1"/>
  <c r="AW2023" s="1"/>
  <c r="BQ2006"/>
  <c r="I457"/>
  <c r="AR457"/>
  <c r="AR970"/>
  <c r="AF1020"/>
  <c r="AG1641"/>
  <c r="AN1641"/>
  <c r="AO1641"/>
  <c r="AF1641"/>
  <c r="AR1641"/>
  <c r="BC1644" s="1"/>
  <c r="AJ1641"/>
  <c r="AR755"/>
  <c r="BS737" s="1"/>
  <c r="AR1511"/>
  <c r="AG1509"/>
  <c r="AN1509"/>
  <c r="AJ1509"/>
  <c r="BQ1493" s="1"/>
  <c r="K619"/>
  <c r="AV619"/>
  <c r="AO1483"/>
  <c r="AQ1483" s="1"/>
  <c r="AS1483" s="1"/>
  <c r="AT1483" s="1"/>
  <c r="I970"/>
  <c r="AH1449"/>
  <c r="AW998"/>
  <c r="I507"/>
  <c r="O404" i="52"/>
  <c r="Q404"/>
  <c r="BC1347" i="50"/>
  <c r="BD1347" s="1"/>
  <c r="I1024"/>
  <c r="AO1024"/>
  <c r="AQ1024" s="1"/>
  <c r="K1024" s="1"/>
  <c r="I1426"/>
  <c r="AN2072"/>
  <c r="AF2072"/>
  <c r="AG2072"/>
  <c r="AR2072"/>
  <c r="BJ2060" s="1"/>
  <c r="AI2072"/>
  <c r="AJ2072" s="1"/>
  <c r="AO2072"/>
  <c r="AP993"/>
  <c r="AQ993" s="1"/>
  <c r="AS993" s="1"/>
  <c r="AT993" s="1"/>
  <c r="AR2078"/>
  <c r="AO2078"/>
  <c r="AQ2078" s="1"/>
  <c r="AS2078" s="1"/>
  <c r="AT2078" s="1"/>
  <c r="I2078"/>
  <c r="AR1942"/>
  <c r="I1942"/>
  <c r="AJ1020"/>
  <c r="I1020" s="1"/>
  <c r="I2070"/>
  <c r="AJ2070"/>
  <c r="AN1020"/>
  <c r="K538"/>
  <c r="AO1020"/>
  <c r="AW538"/>
  <c r="AR1020"/>
  <c r="BL1007" s="1"/>
  <c r="AS1426"/>
  <c r="AT1426" s="1"/>
  <c r="BI1628"/>
  <c r="BC995"/>
  <c r="BD995" s="1"/>
  <c r="AR1403"/>
  <c r="I1403"/>
  <c r="AW1966"/>
  <c r="BN1952"/>
  <c r="BR1952"/>
  <c r="AZ1969"/>
  <c r="K1969"/>
  <c r="I1968"/>
  <c r="BQ1952"/>
  <c r="AP1968"/>
  <c r="AQ1968" s="1"/>
  <c r="AW1968" s="1"/>
  <c r="BL1952"/>
  <c r="AP1965"/>
  <c r="AQ1965" s="1"/>
  <c r="AW1965" s="1"/>
  <c r="I1965"/>
  <c r="BM1952"/>
  <c r="AG1617"/>
  <c r="AO1617"/>
  <c r="AJ1617"/>
  <c r="BQ1601" s="1"/>
  <c r="AJ1964"/>
  <c r="AP1964" s="1"/>
  <c r="AQ1964" s="1"/>
  <c r="BZ381"/>
  <c r="BZ383"/>
  <c r="AG1451"/>
  <c r="AN1451"/>
  <c r="AR1451"/>
  <c r="BJ1439" s="1"/>
  <c r="I1588"/>
  <c r="AS1588"/>
  <c r="AT1588" s="1"/>
  <c r="AO1592"/>
  <c r="AQ1592" s="1"/>
  <c r="AW1592" s="1"/>
  <c r="I1592"/>
  <c r="AJ1482"/>
  <c r="BQ1466" s="1"/>
  <c r="AG1482"/>
  <c r="AR1456"/>
  <c r="BR1439" s="1"/>
  <c r="I1616"/>
  <c r="AS1616"/>
  <c r="AT1616" s="1"/>
  <c r="AR1618"/>
  <c r="BR1601" s="1"/>
  <c r="AJ1449"/>
  <c r="BI1439" s="1"/>
  <c r="AJ969"/>
  <c r="BQ953" s="1"/>
  <c r="AR1454"/>
  <c r="AW1454" s="1"/>
  <c r="I936"/>
  <c r="AO1213"/>
  <c r="AQ1213" s="1"/>
  <c r="AS1213" s="1"/>
  <c r="AT1213" s="1"/>
  <c r="AS212"/>
  <c r="AT212" s="1"/>
  <c r="AR347"/>
  <c r="AW347" s="1"/>
  <c r="AR1214"/>
  <c r="BS1196" s="1"/>
  <c r="AO939"/>
  <c r="AN939"/>
  <c r="AF939"/>
  <c r="AI209"/>
  <c r="I209" s="1"/>
  <c r="AN209"/>
  <c r="AF209"/>
  <c r="AO214"/>
  <c r="AQ214" s="1"/>
  <c r="K214" s="1"/>
  <c r="O461" i="52"/>
  <c r="Q461" s="1"/>
  <c r="C509"/>
  <c r="I211" i="50"/>
  <c r="G195" i="38"/>
  <c r="B31" i="57"/>
  <c r="Q366" i="52"/>
  <c r="H276"/>
  <c r="AJ210" i="50"/>
  <c r="I210" s="1"/>
  <c r="AN210"/>
  <c r="AR210"/>
  <c r="BL197" s="1"/>
  <c r="O414" i="52"/>
  <c r="Q414" s="1"/>
  <c r="C462"/>
  <c r="I917" i="50"/>
  <c r="O572" i="52"/>
  <c r="Q572" s="1"/>
  <c r="C620"/>
  <c r="AG915" i="50"/>
  <c r="AJ915"/>
  <c r="BQ899" s="1"/>
  <c r="AO915"/>
  <c r="AR913"/>
  <c r="BN899" s="1"/>
  <c r="C556" i="52"/>
  <c r="O508"/>
  <c r="Q508" s="1"/>
  <c r="AJ318" i="50"/>
  <c r="I318" s="1"/>
  <c r="AF318"/>
  <c r="AN318"/>
  <c r="BC1266"/>
  <c r="BE1266" s="1"/>
  <c r="AF695"/>
  <c r="AO695"/>
  <c r="AI695"/>
  <c r="I695" s="1"/>
  <c r="AZ1400"/>
  <c r="M1400" s="1"/>
  <c r="BN980"/>
  <c r="AW994"/>
  <c r="AJ1398"/>
  <c r="I1398" s="1"/>
  <c r="AG1428"/>
  <c r="AF1428"/>
  <c r="AR1428"/>
  <c r="BP1412" s="1"/>
  <c r="AO1943"/>
  <c r="AQ1943" s="1"/>
  <c r="AR1943"/>
  <c r="BS1925" s="1"/>
  <c r="O617" i="52"/>
  <c r="Q617" s="1"/>
  <c r="C665"/>
  <c r="O665" s="1"/>
  <c r="Q665" s="1"/>
  <c r="BZ1056" i="50"/>
  <c r="BN1385"/>
  <c r="AG1424"/>
  <c r="AN1424"/>
  <c r="AF1424"/>
  <c r="AN1937"/>
  <c r="AG1937"/>
  <c r="AF1937"/>
  <c r="BZ435"/>
  <c r="BZ624"/>
  <c r="BZ1164"/>
  <c r="BK1250"/>
  <c r="AN780"/>
  <c r="AF780"/>
  <c r="BQ1331"/>
  <c r="AO1425"/>
  <c r="BZ948"/>
  <c r="AR779"/>
  <c r="AW1345"/>
  <c r="AN776"/>
  <c r="AO322"/>
  <c r="AQ322" s="1"/>
  <c r="AW322" s="1"/>
  <c r="I322"/>
  <c r="AR1938"/>
  <c r="AN1938"/>
  <c r="AG1938"/>
  <c r="AR321"/>
  <c r="BP305" s="1"/>
  <c r="O628" i="52"/>
  <c r="Q628"/>
  <c r="C676"/>
  <c r="O676"/>
  <c r="Q676" s="1"/>
  <c r="I1802" i="50"/>
  <c r="AR319"/>
  <c r="BN305" s="1"/>
  <c r="I319"/>
  <c r="AF699"/>
  <c r="AO699"/>
  <c r="AN699"/>
  <c r="AS1807"/>
  <c r="AT1807" s="1"/>
  <c r="K1807"/>
  <c r="I774"/>
  <c r="I693"/>
  <c r="BZ1652"/>
  <c r="I323"/>
  <c r="AW1264"/>
  <c r="AZ1264"/>
  <c r="M1264" s="1"/>
  <c r="AX1262"/>
  <c r="AO858"/>
  <c r="BZ1598"/>
  <c r="C570" i="52"/>
  <c r="O522"/>
  <c r="Q522"/>
  <c r="AX1050" i="50"/>
  <c r="AZ1426"/>
  <c r="M1426" s="1"/>
  <c r="K1430"/>
  <c r="BQ1250"/>
  <c r="K1403"/>
  <c r="AV1403"/>
  <c r="BZ1515"/>
  <c r="BZ2084"/>
  <c r="BN737"/>
  <c r="AV970"/>
  <c r="C672" i="52"/>
  <c r="O672" s="1"/>
  <c r="Q672" s="1"/>
  <c r="O624"/>
  <c r="Q624"/>
  <c r="C594"/>
  <c r="O546"/>
  <c r="Q546" s="1"/>
  <c r="I830" i="50"/>
  <c r="BL1142"/>
  <c r="AI1721"/>
  <c r="I1721" s="1"/>
  <c r="BO1142"/>
  <c r="AW1157"/>
  <c r="AW295"/>
  <c r="K295"/>
  <c r="AN1722"/>
  <c r="AJ1722"/>
  <c r="I1722" s="1"/>
  <c r="AG1722"/>
  <c r="AF267"/>
  <c r="C506" i="52"/>
  <c r="O458"/>
  <c r="Q458" s="1"/>
  <c r="C454"/>
  <c r="O406"/>
  <c r="Q406"/>
  <c r="B23" i="57"/>
  <c r="Q358" i="52"/>
  <c r="G187" i="38"/>
  <c r="D629" i="52"/>
  <c r="O581"/>
  <c r="Q581" s="1"/>
  <c r="AZ296" i="50"/>
  <c r="I1719"/>
  <c r="O559" i="52"/>
  <c r="Q559" s="1"/>
  <c r="C607"/>
  <c r="O453"/>
  <c r="Q453" s="1"/>
  <c r="C501"/>
  <c r="AZ832" i="50"/>
  <c r="M832" s="1"/>
  <c r="C407" i="52"/>
  <c r="O359"/>
  <c r="I188" i="38" s="1"/>
  <c r="AS265" i="50"/>
  <c r="AT265" s="1"/>
  <c r="I1158"/>
  <c r="C621" i="52"/>
  <c r="O573"/>
  <c r="Q573" s="1"/>
  <c r="I1154" i="50"/>
  <c r="AW1723"/>
  <c r="BN1709"/>
  <c r="AZ1723"/>
  <c r="M1723" s="1"/>
  <c r="BI2006"/>
  <c r="AN183"/>
  <c r="AF183"/>
  <c r="AG183"/>
  <c r="D626" i="52"/>
  <c r="O578"/>
  <c r="Q578" s="1"/>
  <c r="AV1159" i="50"/>
  <c r="AS1159"/>
  <c r="AT1159" s="1"/>
  <c r="K1159"/>
  <c r="O505" i="52"/>
  <c r="Q505" s="1"/>
  <c r="C553"/>
  <c r="AR184" i="50"/>
  <c r="AW184" s="1"/>
  <c r="AF1131"/>
  <c r="AJ1131"/>
  <c r="BQ1115" s="1"/>
  <c r="AR182"/>
  <c r="BJ170" s="1"/>
  <c r="AI182"/>
  <c r="I182" s="1"/>
  <c r="AG182"/>
  <c r="C641" i="52"/>
  <c r="O641"/>
  <c r="Q641" s="1"/>
  <c r="O593"/>
  <c r="Q593" s="1"/>
  <c r="K836" i="50"/>
  <c r="AV836"/>
  <c r="AF1478"/>
  <c r="AR1478"/>
  <c r="BJ1466" s="1"/>
  <c r="BK602"/>
  <c r="AP614"/>
  <c r="AQ614" s="1"/>
  <c r="AG1128"/>
  <c r="C547" i="52"/>
  <c r="O499"/>
  <c r="Q499" s="1"/>
  <c r="AR1480" i="50"/>
  <c r="AW1480" s="1"/>
  <c r="AR1023"/>
  <c r="BP1007" s="1"/>
  <c r="AJ1023"/>
  <c r="I1023" s="1"/>
  <c r="AF1023"/>
  <c r="AG1023"/>
  <c r="AO1023"/>
  <c r="AN1023"/>
  <c r="I750"/>
  <c r="BM737"/>
  <c r="AP750"/>
  <c r="AQ750" s="1"/>
  <c r="AV750" s="1"/>
  <c r="BI737"/>
  <c r="AJ963"/>
  <c r="AX969" s="1"/>
  <c r="BZ491"/>
  <c r="AG1127"/>
  <c r="BL278"/>
  <c r="BC294"/>
  <c r="BD294" s="1"/>
  <c r="BC293"/>
  <c r="BD293" s="1"/>
  <c r="D659" i="52"/>
  <c r="AJ1479" i="50"/>
  <c r="BM1466" s="1"/>
  <c r="AF1479"/>
  <c r="AO1479"/>
  <c r="C678" i="52"/>
  <c r="O678" s="1"/>
  <c r="Q678" s="1"/>
  <c r="O630"/>
  <c r="Q630"/>
  <c r="BS602" i="50"/>
  <c r="AZ619"/>
  <c r="BM278"/>
  <c r="I291"/>
  <c r="AP291"/>
  <c r="AQ291" s="1"/>
  <c r="AR1132"/>
  <c r="AS970"/>
  <c r="AT970" s="1"/>
  <c r="BZ1488"/>
  <c r="C619" i="52"/>
  <c r="O571"/>
  <c r="Q571" s="1"/>
  <c r="BM224" i="50"/>
  <c r="C538" i="52"/>
  <c r="O490"/>
  <c r="Q490"/>
  <c r="BQ494" i="50"/>
  <c r="AJ479"/>
  <c r="BL467"/>
  <c r="B40" i="57"/>
  <c r="H283" i="52"/>
  <c r="G204" i="38"/>
  <c r="Q375" i="52"/>
  <c r="C632"/>
  <c r="O584"/>
  <c r="Q584" s="1"/>
  <c r="AR1992" i="50"/>
  <c r="BL1979" s="1"/>
  <c r="C471" i="52"/>
  <c r="O423"/>
  <c r="Q423"/>
  <c r="K457" i="50"/>
  <c r="AV457"/>
  <c r="O517" i="52"/>
  <c r="Q517" s="1"/>
  <c r="C565"/>
  <c r="BK1331" i="50"/>
  <c r="AP1343"/>
  <c r="AQ1343" s="1"/>
  <c r="AR1913"/>
  <c r="BO1898" s="1"/>
  <c r="AV484"/>
  <c r="K485"/>
  <c r="AX483"/>
  <c r="AP1914"/>
  <c r="AQ1914" s="1"/>
  <c r="BI521"/>
  <c r="C612" i="52"/>
  <c r="O564"/>
  <c r="Q564" s="1"/>
  <c r="BN656" i="50"/>
  <c r="AW670"/>
  <c r="BO467"/>
  <c r="BN332"/>
  <c r="AW346"/>
  <c r="C608" i="52"/>
  <c r="O560"/>
  <c r="Q560"/>
  <c r="C585"/>
  <c r="O537"/>
  <c r="Q537" s="1"/>
  <c r="D651"/>
  <c r="O651" s="1"/>
  <c r="Q651" s="1"/>
  <c r="O603"/>
  <c r="Q603" s="1"/>
  <c r="I1996" i="50"/>
  <c r="C518" i="52"/>
  <c r="O470"/>
  <c r="Q470" s="1"/>
  <c r="D623"/>
  <c r="O575"/>
  <c r="Q575" s="1"/>
  <c r="BR332" i="50"/>
  <c r="AV885"/>
  <c r="D625" i="52"/>
  <c r="O577"/>
  <c r="Q577" s="1"/>
  <c r="I506" i="50"/>
  <c r="C657" i="52"/>
  <c r="O657" s="1"/>
  <c r="Q657" s="1"/>
  <c r="O609"/>
  <c r="Q609" s="1"/>
  <c r="AR859" i="50"/>
  <c r="BN845" s="1"/>
  <c r="O627" i="52"/>
  <c r="Q627" s="1"/>
  <c r="C675"/>
  <c r="O675" s="1"/>
  <c r="Q675" s="1"/>
  <c r="AZ241" i="50"/>
  <c r="AI1991"/>
  <c r="I1991" s="1"/>
  <c r="AO1991"/>
  <c r="AR1991"/>
  <c r="BJ1979" s="1"/>
  <c r="AV2022"/>
  <c r="AI1910"/>
  <c r="AJ1910" s="1"/>
  <c r="BQ440"/>
  <c r="K669"/>
  <c r="M669" s="1"/>
  <c r="AW669"/>
  <c r="AV669"/>
  <c r="AS669"/>
  <c r="AT669" s="1"/>
  <c r="AX240"/>
  <c r="I452"/>
  <c r="AS2023"/>
  <c r="AT2023" s="1"/>
  <c r="AW886"/>
  <c r="BM1628"/>
  <c r="BS1493"/>
  <c r="AV2078"/>
  <c r="AV1965"/>
  <c r="K1968"/>
  <c r="BO1601"/>
  <c r="AW1616"/>
  <c r="AZ1616"/>
  <c r="M1616" s="1"/>
  <c r="BI1601"/>
  <c r="AJ1451"/>
  <c r="I1451"/>
  <c r="AP1455"/>
  <c r="AQ1455" s="1"/>
  <c r="AX1455"/>
  <c r="AZ1588"/>
  <c r="M1588" s="1"/>
  <c r="BN1574"/>
  <c r="AW1588"/>
  <c r="C604" i="52"/>
  <c r="O556"/>
  <c r="Q556" s="1"/>
  <c r="AZ913" i="50"/>
  <c r="M913" s="1"/>
  <c r="AP939"/>
  <c r="AQ939" s="1"/>
  <c r="BM926"/>
  <c r="I939"/>
  <c r="C557" i="52"/>
  <c r="O509"/>
  <c r="Q509" s="1"/>
  <c r="BK899" i="50"/>
  <c r="BI1196"/>
  <c r="BI197"/>
  <c r="C668" i="52"/>
  <c r="O668" s="1"/>
  <c r="Q668" s="1"/>
  <c r="O620"/>
  <c r="Q620" s="1"/>
  <c r="AX942" i="50"/>
  <c r="BI926"/>
  <c r="C510" i="52"/>
  <c r="O462"/>
  <c r="Q462" s="1"/>
  <c r="AW320" i="50"/>
  <c r="AV1803"/>
  <c r="AV1050"/>
  <c r="C618" i="52"/>
  <c r="O570"/>
  <c r="Q570" s="1"/>
  <c r="AV1262" i="50"/>
  <c r="AS1262"/>
  <c r="AT1262" s="1"/>
  <c r="K1262"/>
  <c r="M1262" s="1"/>
  <c r="AW1262"/>
  <c r="AW319"/>
  <c r="AP992"/>
  <c r="AQ992" s="1"/>
  <c r="AJ695"/>
  <c r="BK683" s="1"/>
  <c r="BK1790"/>
  <c r="AP1802"/>
  <c r="AQ1802" s="1"/>
  <c r="BO764"/>
  <c r="BL1925"/>
  <c r="BR305"/>
  <c r="AV322"/>
  <c r="C595" i="52"/>
  <c r="O547"/>
  <c r="Q547"/>
  <c r="K750" i="50"/>
  <c r="M750" s="1"/>
  <c r="C601" i="52"/>
  <c r="O553"/>
  <c r="Q553"/>
  <c r="O594"/>
  <c r="Q594" s="1"/>
  <c r="C642"/>
  <c r="O642" s="1"/>
  <c r="Q642" s="1"/>
  <c r="AJ182" i="50"/>
  <c r="AP182" s="1"/>
  <c r="AQ182" s="1"/>
  <c r="B24" i="57"/>
  <c r="G188" i="38"/>
  <c r="Q359" i="52"/>
  <c r="O407"/>
  <c r="Q407"/>
  <c r="C455"/>
  <c r="BR1115" i="50"/>
  <c r="BI953"/>
  <c r="D677" i="52"/>
  <c r="O677"/>
  <c r="Q677" s="1"/>
  <c r="O629"/>
  <c r="Q629" s="1"/>
  <c r="C549"/>
  <c r="O549" s="1"/>
  <c r="Q549" s="1"/>
  <c r="O501"/>
  <c r="Q501"/>
  <c r="D674"/>
  <c r="O674" s="1"/>
  <c r="Q674" s="1"/>
  <c r="O626"/>
  <c r="Q626"/>
  <c r="O454"/>
  <c r="Q454" s="1"/>
  <c r="C502"/>
  <c r="C550" s="1"/>
  <c r="I1479" i="50"/>
  <c r="C655" i="52"/>
  <c r="O655" s="1"/>
  <c r="Q655" s="1"/>
  <c r="O607"/>
  <c r="Q607" s="1"/>
  <c r="I263" i="50"/>
  <c r="C669" i="52"/>
  <c r="O669"/>
  <c r="Q669" s="1"/>
  <c r="O621"/>
  <c r="Q621" s="1"/>
  <c r="C554"/>
  <c r="C602" s="1"/>
  <c r="O506"/>
  <c r="Q506" s="1"/>
  <c r="BK494" i="50"/>
  <c r="AJ1991"/>
  <c r="AP1991" s="1"/>
  <c r="AQ1991" s="1"/>
  <c r="D673" i="52"/>
  <c r="O673" s="1"/>
  <c r="Q673" s="1"/>
  <c r="O625"/>
  <c r="Q625" s="1"/>
  <c r="C566"/>
  <c r="O518"/>
  <c r="Q518" s="1"/>
  <c r="C660"/>
  <c r="O660" s="1"/>
  <c r="Q660" s="1"/>
  <c r="O612"/>
  <c r="Q612"/>
  <c r="D671"/>
  <c r="O671"/>
  <c r="Q671" s="1"/>
  <c r="O623"/>
  <c r="Q623" s="1"/>
  <c r="O538"/>
  <c r="Q538" s="1"/>
  <c r="C586"/>
  <c r="O586" s="1"/>
  <c r="Q586" s="1"/>
  <c r="C613"/>
  <c r="O565"/>
  <c r="Q565" s="1"/>
  <c r="AW1913" i="50"/>
  <c r="O585" i="52"/>
  <c r="Q585" s="1"/>
  <c r="C633"/>
  <c r="C681" s="1"/>
  <c r="O681" s="1"/>
  <c r="Q681" s="1"/>
  <c r="C680"/>
  <c r="O680" s="1"/>
  <c r="Q680" s="1"/>
  <c r="O632"/>
  <c r="Q632" s="1"/>
  <c r="C667"/>
  <c r="O667" s="1"/>
  <c r="Q667" s="1"/>
  <c r="O619"/>
  <c r="Q619" s="1"/>
  <c r="O608"/>
  <c r="Q608"/>
  <c r="C656"/>
  <c r="O656"/>
  <c r="Q656" s="1"/>
  <c r="C519"/>
  <c r="O471"/>
  <c r="Q471" s="1"/>
  <c r="C605"/>
  <c r="C653" s="1"/>
  <c r="O653" s="1"/>
  <c r="Q653" s="1"/>
  <c r="O557"/>
  <c r="Q557" s="1"/>
  <c r="C558"/>
  <c r="C606" s="1"/>
  <c r="O510"/>
  <c r="Q510"/>
  <c r="C652"/>
  <c r="O652" s="1"/>
  <c r="Q652" s="1"/>
  <c r="O604"/>
  <c r="Q604" s="1"/>
  <c r="AX695" i="50"/>
  <c r="C666" i="52"/>
  <c r="O666"/>
  <c r="Q666" s="1"/>
  <c r="O618"/>
  <c r="Q618" s="1"/>
  <c r="C597"/>
  <c r="O502"/>
  <c r="Q502" s="1"/>
  <c r="O601"/>
  <c r="Q601"/>
  <c r="C649"/>
  <c r="O649"/>
  <c r="Q649" s="1"/>
  <c r="O554"/>
  <c r="Q554" s="1"/>
  <c r="O455"/>
  <c r="Q455" s="1"/>
  <c r="C503"/>
  <c r="O503" s="1"/>
  <c r="Q503" s="1"/>
  <c r="O595"/>
  <c r="Q595"/>
  <c r="C643"/>
  <c r="O643"/>
  <c r="Q643" s="1"/>
  <c r="O633"/>
  <c r="Q633" s="1"/>
  <c r="O613"/>
  <c r="Q613" s="1"/>
  <c r="C661"/>
  <c r="O661" s="1"/>
  <c r="Q661" s="1"/>
  <c r="C567"/>
  <c r="O519"/>
  <c r="Q519" s="1"/>
  <c r="C614"/>
  <c r="O614" s="1"/>
  <c r="Q614" s="1"/>
  <c r="O566"/>
  <c r="Q566"/>
  <c r="O558"/>
  <c r="Q558" s="1"/>
  <c r="C645"/>
  <c r="O645" s="1"/>
  <c r="Q645" s="1"/>
  <c r="O597"/>
  <c r="Q597" s="1"/>
  <c r="O567"/>
  <c r="Q567" s="1"/>
  <c r="C615"/>
  <c r="C663" s="1"/>
  <c r="O663" s="1"/>
  <c r="Q663" s="1"/>
  <c r="C662"/>
  <c r="O662" s="1"/>
  <c r="Q662" s="1"/>
  <c r="O615"/>
  <c r="Q615" s="1"/>
  <c r="H2137" i="50"/>
  <c r="H115" i="62" s="1"/>
  <c r="G127"/>
  <c r="H2099" i="50"/>
  <c r="H77" i="62" s="1"/>
  <c r="G132"/>
  <c r="G92"/>
  <c r="H2113" i="50"/>
  <c r="H91" i="62" s="1"/>
  <c r="G79"/>
  <c r="G110"/>
  <c r="G82" i="61"/>
  <c r="F82"/>
  <c r="G101" i="62"/>
  <c r="AT82" i="61"/>
  <c r="G98" i="62"/>
  <c r="H2165" i="50"/>
  <c r="H143" i="62" s="1"/>
  <c r="G130"/>
  <c r="H2152" i="50"/>
  <c r="H130" i="62" s="1"/>
  <c r="H2134" i="50"/>
  <c r="H112" i="62" s="1"/>
  <c r="G112"/>
  <c r="M7" i="61"/>
  <c r="K7"/>
  <c r="AK83"/>
  <c r="AT83"/>
  <c r="AR83"/>
  <c r="E83"/>
  <c r="D83"/>
  <c r="G125" i="62"/>
  <c r="H2122" i="50"/>
  <c r="H100" i="62" s="1"/>
  <c r="AG83" i="61"/>
  <c r="G128" i="62"/>
  <c r="H2164" i="50"/>
  <c r="H142" i="62" s="1"/>
  <c r="H2160" i="50"/>
  <c r="H138" i="62" s="1"/>
  <c r="G74"/>
  <c r="H2096" i="50"/>
  <c r="H74" i="62" s="1"/>
  <c r="H2140" i="50"/>
  <c r="H118" i="62" s="1"/>
  <c r="AS82" i="61"/>
  <c r="G89" i="62"/>
  <c r="H89"/>
  <c r="H2161" i="50"/>
  <c r="H139" i="62" s="1"/>
  <c r="G139"/>
  <c r="H2118" i="50"/>
  <c r="H96" i="62" s="1"/>
  <c r="G96"/>
  <c r="H2155" i="50"/>
  <c r="H133" i="62" s="1"/>
  <c r="G133"/>
  <c r="G81"/>
  <c r="G80"/>
  <c r="G103"/>
  <c r="H2125" i="50"/>
  <c r="H103" i="62" s="1"/>
  <c r="I186" i="38"/>
  <c r="H2119" i="50"/>
  <c r="H97" i="62" s="1"/>
  <c r="G97"/>
  <c r="H384" i="46"/>
  <c r="H154" i="62" s="1"/>
  <c r="G154"/>
  <c r="I8" i="61"/>
  <c r="AW7"/>
  <c r="G7"/>
  <c r="AU7"/>
  <c r="AY7"/>
  <c r="O7"/>
  <c r="G120" i="62"/>
  <c r="H2142" i="50"/>
  <c r="H120" i="62" s="1"/>
  <c r="U95" i="61"/>
  <c r="D95"/>
  <c r="G129" i="62"/>
  <c r="H388" i="46"/>
  <c r="H158" i="62" s="1"/>
  <c r="H2158" i="50"/>
  <c r="H136" i="62" s="1"/>
  <c r="G157"/>
  <c r="H387" i="46"/>
  <c r="H157" i="62"/>
  <c r="AD95" i="61"/>
  <c r="W95"/>
  <c r="AF95"/>
  <c r="AX95"/>
  <c r="G114" i="62"/>
  <c r="H2136" i="50"/>
  <c r="H114" i="62" s="1"/>
  <c r="AQ82" i="61"/>
  <c r="S95"/>
  <c r="V95"/>
  <c r="E95"/>
  <c r="AY95"/>
  <c r="T95"/>
  <c r="AV95"/>
  <c r="R95"/>
  <c r="Z95"/>
  <c r="Y95"/>
  <c r="AA95"/>
  <c r="X95"/>
  <c r="AB95"/>
  <c r="AE95"/>
  <c r="AW95"/>
  <c r="G72" i="62"/>
  <c r="G156"/>
  <c r="H386" i="46"/>
  <c r="H156" i="62" s="1"/>
  <c r="AK82" i="61"/>
  <c r="E82"/>
  <c r="AM82"/>
  <c r="AU82"/>
  <c r="AJ82"/>
  <c r="AP82"/>
  <c r="AI82"/>
  <c r="AO82"/>
  <c r="AH82"/>
  <c r="D82"/>
  <c r="AG82"/>
  <c r="AL82"/>
  <c r="AN82"/>
  <c r="G111" i="62"/>
  <c r="H2133" i="50"/>
  <c r="H111" i="62" s="1"/>
  <c r="G140"/>
  <c r="H2162" i="50"/>
  <c r="H140" i="62" s="1"/>
  <c r="H2110" i="50"/>
  <c r="H88" i="62" s="1"/>
  <c r="G88"/>
  <c r="H2159" i="50"/>
  <c r="H137" i="62" s="1"/>
  <c r="AL83" i="61"/>
  <c r="AS83"/>
  <c r="AO83"/>
  <c r="H2098" i="50"/>
  <c r="H76" i="62" s="1"/>
  <c r="H2141" i="50"/>
  <c r="H119" i="62" s="1"/>
  <c r="H2112" i="50"/>
  <c r="H90" i="62" s="1"/>
  <c r="AI83" i="61"/>
  <c r="G83"/>
  <c r="G107" i="62"/>
  <c r="AJ83" i="61"/>
  <c r="H2116" i="50"/>
  <c r="H94" i="62" s="1"/>
  <c r="AN83" i="61"/>
  <c r="H2106" i="50"/>
  <c r="H84" i="62" s="1"/>
  <c r="F8" i="61"/>
  <c r="AP83"/>
  <c r="H383" i="46"/>
  <c r="H153" i="62"/>
  <c r="H2128" i="50"/>
  <c r="H106" i="62" s="1"/>
  <c r="AU83" i="61"/>
  <c r="R7"/>
  <c r="AX7"/>
  <c r="S7"/>
  <c r="I7"/>
  <c r="G117" i="62"/>
  <c r="H2139" i="50"/>
  <c r="H117" i="62" s="1"/>
  <c r="AV7" i="61"/>
  <c r="G116" i="62"/>
  <c r="H381" i="46"/>
  <c r="H151" i="62" s="1"/>
  <c r="AQ83" i="61"/>
  <c r="H382" i="46"/>
  <c r="H152" i="62" s="1"/>
  <c r="G152"/>
  <c r="AH83" i="61"/>
  <c r="AM83"/>
  <c r="G99" i="62"/>
  <c r="G95"/>
  <c r="H2130" i="50"/>
  <c r="H108" i="62" s="1"/>
  <c r="I184" i="38"/>
  <c r="I182"/>
  <c r="I187"/>
  <c r="I183"/>
  <c r="I185"/>
  <c r="H2124" i="50"/>
  <c r="H102" i="62" s="1"/>
  <c r="H2163" i="50"/>
  <c r="H141" i="62" s="1"/>
  <c r="H2105" i="50"/>
  <c r="H83" i="62" s="1"/>
  <c r="H2146" i="50"/>
  <c r="H124" i="62" s="1"/>
  <c r="G124"/>
  <c r="G82"/>
  <c r="H2104" i="50"/>
  <c r="H82" i="62" s="1"/>
  <c r="G134"/>
  <c r="H2156" i="50"/>
  <c r="H134" i="62" s="1"/>
  <c r="H2131" i="50"/>
  <c r="H109" i="62" s="1"/>
  <c r="G85"/>
  <c r="G71"/>
  <c r="H2148" i="50"/>
  <c r="H126" i="62" s="1"/>
  <c r="H2135" i="50"/>
  <c r="H113" i="62" s="1"/>
  <c r="G113"/>
  <c r="G8" i="61"/>
  <c r="H2109" i="50"/>
  <c r="H87" i="62" s="1"/>
  <c r="G87"/>
  <c r="G73"/>
  <c r="H2095" i="50"/>
  <c r="H73" i="62" s="1"/>
  <c r="H2145" i="50"/>
  <c r="H123" i="62" s="1"/>
  <c r="G123"/>
  <c r="G135"/>
  <c r="H2157" i="50"/>
  <c r="H135" i="62" s="1"/>
  <c r="W96" i="61"/>
  <c r="Y96"/>
  <c r="AX96"/>
  <c r="AC96"/>
  <c r="U96"/>
  <c r="AB96"/>
  <c r="S96"/>
  <c r="AW96"/>
  <c r="X96"/>
  <c r="T96"/>
  <c r="AV96"/>
  <c r="AA96"/>
  <c r="AU96"/>
  <c r="D96"/>
  <c r="AE96"/>
  <c r="AY96"/>
  <c r="AF96"/>
  <c r="AD96"/>
  <c r="V96"/>
  <c r="Z96"/>
  <c r="R96"/>
  <c r="E96"/>
  <c r="AL143" i="46"/>
  <c r="AL144" s="1"/>
  <c r="AL158" s="1"/>
  <c r="AL159" s="1"/>
  <c r="AL142"/>
  <c r="AL283"/>
  <c r="AL284"/>
  <c r="AL298" s="1"/>
  <c r="AL299" s="1"/>
  <c r="AL282"/>
  <c r="AL247"/>
  <c r="AL177"/>
  <c r="AL178"/>
  <c r="AL179" s="1"/>
  <c r="AL193" s="1"/>
  <c r="AL194" s="1"/>
  <c r="AU95" i="61"/>
  <c r="E59" i="57"/>
  <c r="O602" i="52" l="1"/>
  <c r="Q602" s="1"/>
  <c r="C650"/>
  <c r="O650" s="1"/>
  <c r="Q650" s="1"/>
  <c r="O550"/>
  <c r="Q550" s="1"/>
  <c r="C598"/>
  <c r="C654"/>
  <c r="O654" s="1"/>
  <c r="Q654" s="1"/>
  <c r="O606"/>
  <c r="Q606" s="1"/>
  <c r="C500"/>
  <c r="O452"/>
  <c r="Q452" s="1"/>
  <c r="AS673" i="50"/>
  <c r="AT673" s="1"/>
  <c r="K673"/>
  <c r="AV673"/>
  <c r="AW673"/>
  <c r="B20" i="57"/>
  <c r="Q355" i="52"/>
  <c r="G184" i="38"/>
  <c r="AK68" i="58"/>
  <c r="AA68"/>
  <c r="I68"/>
  <c r="BJ68"/>
  <c r="AH1017" i="50"/>
  <c r="AX830"/>
  <c r="AH747"/>
  <c r="AP747" s="1"/>
  <c r="AY1753"/>
  <c r="BZ1753"/>
  <c r="C224"/>
  <c r="BA10" i="61"/>
  <c r="C551" i="52"/>
  <c r="O551" s="1"/>
  <c r="Q551" s="1"/>
  <c r="O605"/>
  <c r="Q605" s="1"/>
  <c r="C634"/>
  <c r="AY1700" i="50"/>
  <c r="Q1037"/>
  <c r="BE1046"/>
  <c r="BZ440"/>
  <c r="BZ1142"/>
  <c r="BZ710"/>
  <c r="BZ170"/>
  <c r="BZ494"/>
  <c r="BZ926"/>
  <c r="BZ845"/>
  <c r="K8"/>
  <c r="L240" i="58"/>
  <c r="L235"/>
  <c r="BB218" s="1"/>
  <c r="AF131"/>
  <c r="AG131" s="1"/>
  <c r="AE131"/>
  <c r="AU122" s="1"/>
  <c r="AK560" i="50"/>
  <c r="BE562"/>
  <c r="BD587"/>
  <c r="BD588"/>
  <c r="BD589"/>
  <c r="Y1667"/>
  <c r="Y1672"/>
  <c r="R1658"/>
  <c r="BV1655" s="1"/>
  <c r="AC1660"/>
  <c r="R1665"/>
  <c r="BX1655" s="1"/>
  <c r="N644" i="52"/>
  <c r="X644"/>
  <c r="N404"/>
  <c r="X404"/>
  <c r="AC1849" i="50"/>
  <c r="N1844"/>
  <c r="BT1844" s="1"/>
  <c r="Y1859"/>
  <c r="R1847"/>
  <c r="BV1844" s="1"/>
  <c r="N1845"/>
  <c r="BU1844" s="1"/>
  <c r="AA293" i="58"/>
  <c r="AK293"/>
  <c r="M293" s="1"/>
  <c r="L363"/>
  <c r="BB346" s="1"/>
  <c r="L362"/>
  <c r="BA346" s="1"/>
  <c r="L369"/>
  <c r="BD263" i="50"/>
  <c r="BD265"/>
  <c r="BC264"/>
  <c r="Q260"/>
  <c r="BE263"/>
  <c r="Q252"/>
  <c r="BE265"/>
  <c r="Q1124"/>
  <c r="Q1115"/>
  <c r="Q1125"/>
  <c r="BE1128"/>
  <c r="BE1127"/>
  <c r="Q1116"/>
  <c r="BD1129"/>
  <c r="BE1129"/>
  <c r="AK1127"/>
  <c r="BE1694"/>
  <c r="Q1685"/>
  <c r="Q1692"/>
  <c r="AK1694"/>
  <c r="R1691"/>
  <c r="BW1682" s="1"/>
  <c r="BD1694"/>
  <c r="R1685"/>
  <c r="BV1682" s="1"/>
  <c r="N1682"/>
  <c r="BT1682" s="1"/>
  <c r="BE1696"/>
  <c r="I262" i="58"/>
  <c r="AA262"/>
  <c r="AA164"/>
  <c r="I164"/>
  <c r="AA130"/>
  <c r="I130"/>
  <c r="Y1046" i="50"/>
  <c r="Y1049"/>
  <c r="Y1044"/>
  <c r="Y1047"/>
  <c r="Y1051"/>
  <c r="Y375"/>
  <c r="Y369"/>
  <c r="Y373"/>
  <c r="AC364"/>
  <c r="Y374"/>
  <c r="AC1687"/>
  <c r="Y1697"/>
  <c r="Y1698"/>
  <c r="Y1699"/>
  <c r="Y1888"/>
  <c r="Y1887"/>
  <c r="Y1883"/>
  <c r="AC1876"/>
  <c r="R1881"/>
  <c r="BX1871" s="1"/>
  <c r="N1871"/>
  <c r="BT1871" s="1"/>
  <c r="R1880"/>
  <c r="BW1871" s="1"/>
  <c r="N1872"/>
  <c r="BU1871" s="1"/>
  <c r="Q1280"/>
  <c r="BE1291"/>
  <c r="BD1291"/>
  <c r="AK1289"/>
  <c r="Q1277"/>
  <c r="Q1286"/>
  <c r="AK1287"/>
  <c r="BD1290"/>
  <c r="Q1278"/>
  <c r="BE1289"/>
  <c r="BE1290"/>
  <c r="BA97" i="61"/>
  <c r="BA98"/>
  <c r="BZ862" i="50"/>
  <c r="BC1506"/>
  <c r="Y1751"/>
  <c r="R68" i="58"/>
  <c r="R64"/>
  <c r="Q314" i="50"/>
  <c r="R314"/>
  <c r="BW305" s="1"/>
  <c r="BC587"/>
  <c r="BC589"/>
  <c r="O381" i="52"/>
  <c r="C382"/>
  <c r="Y533" i="50"/>
  <c r="Y537"/>
  <c r="Q1800"/>
  <c r="N1791"/>
  <c r="BU1790" s="1"/>
  <c r="BE1804"/>
  <c r="AK1802"/>
  <c r="R1793"/>
  <c r="BV1790" s="1"/>
  <c r="BC1804"/>
  <c r="AK992"/>
  <c r="BE993"/>
  <c r="Y1619"/>
  <c r="Y1611"/>
  <c r="X526" i="52"/>
  <c r="N526"/>
  <c r="N648"/>
  <c r="X648"/>
  <c r="X659"/>
  <c r="N659"/>
  <c r="X513"/>
  <c r="N513"/>
  <c r="X586"/>
  <c r="N586"/>
  <c r="B429"/>
  <c r="B477" s="1"/>
  <c r="B525" s="1"/>
  <c r="B573" s="1"/>
  <c r="B621" s="1"/>
  <c r="B669" s="1"/>
  <c r="B382"/>
  <c r="B430" s="1"/>
  <c r="B478" s="1"/>
  <c r="B526" s="1"/>
  <c r="B574" s="1"/>
  <c r="B622" s="1"/>
  <c r="B670" s="1"/>
  <c r="Y1076" i="50"/>
  <c r="AC1066"/>
  <c r="Y1077"/>
  <c r="R1070"/>
  <c r="BW1061" s="1"/>
  <c r="N1061"/>
  <c r="BT1061" s="1"/>
  <c r="AK1748"/>
  <c r="BE1749"/>
  <c r="R1745"/>
  <c r="BW1736" s="1"/>
  <c r="N1737"/>
  <c r="BU1736" s="1"/>
  <c r="R1746"/>
  <c r="BX1736" s="1"/>
  <c r="BD1749"/>
  <c r="R1739"/>
  <c r="BV1736" s="1"/>
  <c r="I132" i="58"/>
  <c r="AA132"/>
  <c r="Y1752" i="50"/>
  <c r="AC1741"/>
  <c r="Y1749"/>
  <c r="Y1754"/>
  <c r="Y1748"/>
  <c r="AK290" i="58"/>
  <c r="M290" s="1"/>
  <c r="AA290"/>
  <c r="AK325"/>
  <c r="M325" s="1"/>
  <c r="AA325"/>
  <c r="L331"/>
  <c r="BB314" s="1"/>
  <c r="L330"/>
  <c r="BA314" s="1"/>
  <c r="AO323"/>
  <c r="L337"/>
  <c r="AP323"/>
  <c r="M1881" i="50"/>
  <c r="AR1881"/>
  <c r="BH1871" s="1"/>
  <c r="Q287"/>
  <c r="N278"/>
  <c r="BT278" s="1"/>
  <c r="Q279"/>
  <c r="AK288"/>
  <c r="BD290"/>
  <c r="Q288"/>
  <c r="AK290"/>
  <c r="R288"/>
  <c r="BX278" s="1"/>
  <c r="BE291"/>
  <c r="R281"/>
  <c r="BV278" s="1"/>
  <c r="R287"/>
  <c r="BW278" s="1"/>
  <c r="BD751"/>
  <c r="Q737"/>
  <c r="BD750"/>
  <c r="BC750"/>
  <c r="R746"/>
  <c r="BW737" s="1"/>
  <c r="BE750"/>
  <c r="Q746"/>
  <c r="BD749"/>
  <c r="AK749"/>
  <c r="AK66" i="58"/>
  <c r="M66" s="1"/>
  <c r="I66"/>
  <c r="M256"/>
  <c r="W264"/>
  <c r="AP163"/>
  <c r="L170"/>
  <c r="BA154" s="1"/>
  <c r="Y1186" i="50"/>
  <c r="AY1186" s="1"/>
  <c r="Y1179"/>
  <c r="Q2070"/>
  <c r="AK2070"/>
  <c r="R2069"/>
  <c r="BW2060" s="1"/>
  <c r="BE2072"/>
  <c r="AK2072"/>
  <c r="BE2074"/>
  <c r="BE2073"/>
  <c r="Q2061"/>
  <c r="N2061"/>
  <c r="BU2060" s="1"/>
  <c r="N2060"/>
  <c r="BT2060" s="1"/>
  <c r="Q828"/>
  <c r="AK830"/>
  <c r="R827"/>
  <c r="BW818" s="1"/>
  <c r="R821"/>
  <c r="BV818" s="1"/>
  <c r="AK828"/>
  <c r="R828"/>
  <c r="BX818" s="1"/>
  <c r="N819"/>
  <c r="BU818" s="1"/>
  <c r="Q821"/>
  <c r="BD830"/>
  <c r="Q819"/>
  <c r="Y1319"/>
  <c r="AY1319" s="1"/>
  <c r="Y1320"/>
  <c r="AY1320" s="1"/>
  <c r="K536"/>
  <c r="AV536"/>
  <c r="V337" i="46"/>
  <c r="AL361" s="1"/>
  <c r="AL362" s="1"/>
  <c r="AL363" s="1"/>
  <c r="AL364" s="1"/>
  <c r="S364" s="1"/>
  <c r="Q337"/>
  <c r="Q338"/>
  <c r="W69" i="58"/>
  <c r="BJ69" s="1"/>
  <c r="W70"/>
  <c r="R71"/>
  <c r="W67"/>
  <c r="R72"/>
  <c r="W71"/>
  <c r="I176" i="38"/>
  <c r="H176"/>
  <c r="J176"/>
  <c r="G176"/>
  <c r="J178"/>
  <c r="H178"/>
  <c r="I178"/>
  <c r="AJ486" i="52"/>
  <c r="AJ467"/>
  <c r="AJ464"/>
  <c r="AJ488"/>
  <c r="AJ452"/>
  <c r="AJ480"/>
  <c r="C122" i="58"/>
  <c r="BA84" i="61"/>
  <c r="W192" i="58"/>
  <c r="M211"/>
  <c r="W197"/>
  <c r="U187"/>
  <c r="W195"/>
  <c r="W196"/>
  <c r="R196"/>
  <c r="R200"/>
  <c r="W199"/>
  <c r="W226"/>
  <c r="W224"/>
  <c r="W228"/>
  <c r="W230"/>
  <c r="R228"/>
  <c r="R231"/>
  <c r="R232"/>
  <c r="R356"/>
  <c r="R360"/>
  <c r="M371"/>
  <c r="R352"/>
  <c r="W356"/>
  <c r="W352"/>
  <c r="W357"/>
  <c r="Q198" i="46"/>
  <c r="AK205"/>
  <c r="AK206" s="1"/>
  <c r="Q197"/>
  <c r="Q268"/>
  <c r="Q267"/>
  <c r="V267"/>
  <c r="AL291" s="1"/>
  <c r="AL292" s="1"/>
  <c r="AL293" s="1"/>
  <c r="AL294" s="1"/>
  <c r="S294" s="1"/>
  <c r="AC1049" i="50"/>
  <c r="BA9" i="61"/>
  <c r="Z73" i="38"/>
  <c r="Z71"/>
  <c r="G2092" i="50"/>
  <c r="T115"/>
  <c r="T88"/>
  <c r="U61"/>
  <c r="AK240" i="46"/>
  <c r="AK241" s="1"/>
  <c r="V232"/>
  <c r="AL256" s="1"/>
  <c r="AL257" s="1"/>
  <c r="AL258" s="1"/>
  <c r="AL259" s="1"/>
  <c r="S259" s="1"/>
  <c r="T1224" i="50"/>
  <c r="T1233"/>
  <c r="T1235"/>
  <c r="N548" i="52"/>
  <c r="N434"/>
  <c r="AA165" i="58"/>
  <c r="AA295"/>
  <c r="AA135"/>
  <c r="AA134"/>
  <c r="Z72" i="38"/>
  <c r="T61" i="50"/>
  <c r="U88"/>
  <c r="T576"/>
  <c r="T587"/>
  <c r="T589"/>
  <c r="V811"/>
  <c r="V803"/>
  <c r="V804" s="1"/>
  <c r="V805" s="1"/>
  <c r="V806" s="1"/>
  <c r="V807" s="1"/>
  <c r="V808" s="1"/>
  <c r="T1294"/>
  <c r="T1278"/>
  <c r="T1287"/>
  <c r="T1289"/>
  <c r="T1292"/>
  <c r="T1290"/>
  <c r="T1314"/>
  <c r="T1317"/>
  <c r="T1372"/>
  <c r="T1373"/>
  <c r="T1359"/>
  <c r="T1479"/>
  <c r="T1484"/>
  <c r="T1483"/>
  <c r="T1521"/>
  <c r="T1538"/>
  <c r="T1535"/>
  <c r="T1533"/>
  <c r="T1537"/>
  <c r="K1520"/>
  <c r="T2048"/>
  <c r="T2050"/>
  <c r="T2034"/>
  <c r="T2049"/>
  <c r="T2045"/>
  <c r="U115"/>
  <c r="V126" s="1"/>
  <c r="AR639"/>
  <c r="BH629" s="1"/>
  <c r="AV806"/>
  <c r="BZ1552"/>
  <c r="L6" i="28"/>
  <c r="N375" i="52"/>
  <c r="BA99" i="61"/>
  <c r="AX99" s="1"/>
  <c r="C197" i="46"/>
  <c r="C232" s="1"/>
  <c r="C267" s="1"/>
  <c r="C302" s="1"/>
  <c r="C337" s="1"/>
  <c r="BA101" i="61"/>
  <c r="T101" s="1"/>
  <c r="BA104"/>
  <c r="BA102"/>
  <c r="R102" s="1"/>
  <c r="AD99"/>
  <c r="U99"/>
  <c r="AA99"/>
  <c r="D99"/>
  <c r="AF99"/>
  <c r="S99"/>
  <c r="D104"/>
  <c r="X104"/>
  <c r="AU104"/>
  <c r="Y101"/>
  <c r="X101"/>
  <c r="AW101"/>
  <c r="U102"/>
  <c r="D102"/>
  <c r="V102"/>
  <c r="X102"/>
  <c r="AX102"/>
  <c r="S104"/>
  <c r="AX104"/>
  <c r="R104"/>
  <c r="E104"/>
  <c r="AE104"/>
  <c r="AD104"/>
  <c r="Y99"/>
  <c r="Z99"/>
  <c r="AU99"/>
  <c r="E99"/>
  <c r="AY99"/>
  <c r="R99"/>
  <c r="AE99"/>
  <c r="W99"/>
  <c r="T99"/>
  <c r="AW99"/>
  <c r="E117" i="50"/>
  <c r="P305"/>
  <c r="P278" s="1"/>
  <c r="P251" s="1"/>
  <c r="P224" s="1"/>
  <c r="P197" s="1"/>
  <c r="P170" s="1"/>
  <c r="P143" s="1"/>
  <c r="P116" s="1"/>
  <c r="P89" s="1"/>
  <c r="P62" s="1"/>
  <c r="V3" s="1"/>
  <c r="L8" i="61"/>
  <c r="AV8"/>
  <c r="K8"/>
  <c r="N8"/>
  <c r="P8"/>
  <c r="O8"/>
  <c r="S8"/>
  <c r="M8"/>
  <c r="T8"/>
  <c r="E8"/>
  <c r="AY8"/>
  <c r="Q8"/>
  <c r="R8"/>
  <c r="U8"/>
  <c r="AW8"/>
  <c r="AX8"/>
  <c r="D8"/>
  <c r="AU8"/>
  <c r="J8"/>
  <c r="AF453" i="50"/>
  <c r="AO453"/>
  <c r="AR450"/>
  <c r="BH440" s="1"/>
  <c r="AC458"/>
  <c r="BC452"/>
  <c r="R450"/>
  <c r="BX440" s="1"/>
  <c r="AK452"/>
  <c r="BE454"/>
  <c r="R443"/>
  <c r="BV440" s="1"/>
  <c r="BD454"/>
  <c r="Q450"/>
  <c r="Q440"/>
  <c r="BD453"/>
  <c r="AF642"/>
  <c r="AG642"/>
  <c r="AI641"/>
  <c r="AF641"/>
  <c r="AC644"/>
  <c r="AC643"/>
  <c r="AC645"/>
  <c r="AO776"/>
  <c r="BZ788"/>
  <c r="M774"/>
  <c r="H10" i="61"/>
  <c r="U10"/>
  <c r="AC862" i="50"/>
  <c r="AC863"/>
  <c r="AO863" s="1"/>
  <c r="AQ863" s="1"/>
  <c r="BZ863"/>
  <c r="BZ1186"/>
  <c r="BZ1189"/>
  <c r="BZ1193" s="1"/>
  <c r="BZ1183"/>
  <c r="BZ1181"/>
  <c r="AC1174"/>
  <c r="Y1182"/>
  <c r="Y1184"/>
  <c r="Y1185"/>
  <c r="Y1187"/>
  <c r="AV1213"/>
  <c r="AO1214"/>
  <c r="AQ1214" s="1"/>
  <c r="AR1213"/>
  <c r="BR1196" s="1"/>
  <c r="BZ1214"/>
  <c r="AC1208"/>
  <c r="BZ1324"/>
  <c r="BZ1326" s="1"/>
  <c r="BZ1319"/>
  <c r="BZ1320"/>
  <c r="Y1322"/>
  <c r="Y1317"/>
  <c r="Y1318"/>
  <c r="AC1309"/>
  <c r="Y1321"/>
  <c r="Y1316"/>
  <c r="T1321"/>
  <c r="K1304"/>
  <c r="T1322"/>
  <c r="T1320"/>
  <c r="AJ1425"/>
  <c r="BM1412" s="1"/>
  <c r="BZ1554"/>
  <c r="BZ1557"/>
  <c r="BZ1567" s="1"/>
  <c r="AK1559"/>
  <c r="BD1559"/>
  <c r="Q1547"/>
  <c r="Q1556"/>
  <c r="AK1557"/>
  <c r="Q1548"/>
  <c r="BD1560"/>
  <c r="R1556"/>
  <c r="BW1547" s="1"/>
  <c r="R1550"/>
  <c r="BV1547" s="1"/>
  <c r="BE1560"/>
  <c r="T1562"/>
  <c r="T1560"/>
  <c r="T1559"/>
  <c r="T1561"/>
  <c r="E7" i="61"/>
  <c r="P7"/>
  <c r="H7"/>
  <c r="U7"/>
  <c r="T7"/>
  <c r="Q7"/>
  <c r="N7"/>
  <c r="F7"/>
  <c r="D7"/>
  <c r="O10"/>
  <c r="S10"/>
  <c r="J7"/>
  <c r="V136" i="50"/>
  <c r="AJ1478"/>
  <c r="BK1466" s="1"/>
  <c r="I1478"/>
  <c r="AK1260"/>
  <c r="AZ1913"/>
  <c r="M1913" s="1"/>
  <c r="AP1131"/>
  <c r="AQ1131" s="1"/>
  <c r="BN170"/>
  <c r="BD1266"/>
  <c r="BM1385"/>
  <c r="AP210"/>
  <c r="AQ210" s="1"/>
  <c r="AP1617"/>
  <c r="AQ1617" s="1"/>
  <c r="AV1617" s="1"/>
  <c r="I2072"/>
  <c r="BN872"/>
  <c r="AN1991"/>
  <c r="AG1991"/>
  <c r="BK278"/>
  <c r="AW482"/>
  <c r="K672"/>
  <c r="AS1913"/>
  <c r="AT1913" s="1"/>
  <c r="AX479"/>
  <c r="AO1132"/>
  <c r="AQ1132" s="1"/>
  <c r="AG1479"/>
  <c r="AR1479"/>
  <c r="I1480"/>
  <c r="AN1128"/>
  <c r="AO182"/>
  <c r="AN182"/>
  <c r="AS184"/>
  <c r="AT184" s="1"/>
  <c r="AO183"/>
  <c r="AR183"/>
  <c r="AP1158"/>
  <c r="AQ1158" s="1"/>
  <c r="I265"/>
  <c r="AZ295"/>
  <c r="AF1722"/>
  <c r="AR1722"/>
  <c r="BL1709" s="1"/>
  <c r="AV295"/>
  <c r="BZ1976"/>
  <c r="AW296"/>
  <c r="AH963"/>
  <c r="AH180"/>
  <c r="AP180" s="1"/>
  <c r="AX618"/>
  <c r="AW836"/>
  <c r="AH1719"/>
  <c r="AH693"/>
  <c r="AP693" s="1"/>
  <c r="AZ1807"/>
  <c r="M1807" s="1"/>
  <c r="AW1808"/>
  <c r="AX1802"/>
  <c r="AH774"/>
  <c r="AH936"/>
  <c r="AP936" s="1"/>
  <c r="AH207"/>
  <c r="AH1206"/>
  <c r="AP1206" s="1"/>
  <c r="AH1584"/>
  <c r="AP1023"/>
  <c r="AQ1023" s="1"/>
  <c r="BM305"/>
  <c r="BO332"/>
  <c r="AZ2024"/>
  <c r="K2023"/>
  <c r="AN1910"/>
  <c r="AN1995"/>
  <c r="AW241"/>
  <c r="BO494"/>
  <c r="AW1970"/>
  <c r="AH2070"/>
  <c r="AP2070" s="1"/>
  <c r="AP1638"/>
  <c r="BE1644"/>
  <c r="BD1644"/>
  <c r="BQ1979"/>
  <c r="I1995"/>
  <c r="BC1941"/>
  <c r="BE1941" s="1"/>
  <c r="AP1449"/>
  <c r="AX1154"/>
  <c r="AP1341"/>
  <c r="AX1617"/>
  <c r="BK170"/>
  <c r="AX506"/>
  <c r="AW859"/>
  <c r="BK467"/>
  <c r="AP1719"/>
  <c r="AP1479"/>
  <c r="AQ1479" s="1"/>
  <c r="BN251"/>
  <c r="AJ209"/>
  <c r="AX209" s="1"/>
  <c r="AZ347"/>
  <c r="M347" s="1"/>
  <c r="AZ1214"/>
  <c r="AS1592"/>
  <c r="AT1592" s="1"/>
  <c r="AZ2023"/>
  <c r="M2023" s="1"/>
  <c r="AV2023"/>
  <c r="BO1493"/>
  <c r="I1908"/>
  <c r="AR1910"/>
  <c r="BJ1898" s="1"/>
  <c r="K512"/>
  <c r="BL629"/>
  <c r="AO1995"/>
  <c r="BC347"/>
  <c r="BE347" s="1"/>
  <c r="AZ509"/>
  <c r="M509" s="1"/>
  <c r="BN467"/>
  <c r="AN263"/>
  <c r="BI1142"/>
  <c r="BZ896"/>
  <c r="AO2018"/>
  <c r="Y153"/>
  <c r="Y156"/>
  <c r="Y159"/>
  <c r="Y161"/>
  <c r="Y158"/>
  <c r="R153"/>
  <c r="BX143" s="1"/>
  <c r="R146"/>
  <c r="BV143" s="1"/>
  <c r="R152"/>
  <c r="BW143" s="1"/>
  <c r="AC148"/>
  <c r="Y157"/>
  <c r="Y160"/>
  <c r="Y155"/>
  <c r="BZ148"/>
  <c r="N144"/>
  <c r="BU143" s="1"/>
  <c r="N143"/>
  <c r="BT143" s="1"/>
  <c r="H2166"/>
  <c r="H144" i="62" s="1"/>
  <c r="G144"/>
  <c r="M620" i="50"/>
  <c r="AP207"/>
  <c r="BK1979"/>
  <c r="AP695"/>
  <c r="AQ695" s="1"/>
  <c r="K695" s="1"/>
  <c r="M695" s="1"/>
  <c r="AP1995"/>
  <c r="AQ1995" s="1"/>
  <c r="AZ859"/>
  <c r="M859" s="1"/>
  <c r="AX1995"/>
  <c r="AW506"/>
  <c r="AJ1721"/>
  <c r="BK1709" s="1"/>
  <c r="AP183"/>
  <c r="AQ183" s="1"/>
  <c r="BE294"/>
  <c r="BQ1007"/>
  <c r="K1429"/>
  <c r="AW778"/>
  <c r="AZ319"/>
  <c r="M319" s="1"/>
  <c r="AS1050"/>
  <c r="AT1050" s="1"/>
  <c r="AZ320"/>
  <c r="M320" s="1"/>
  <c r="I938"/>
  <c r="K215"/>
  <c r="AZ1213"/>
  <c r="I942"/>
  <c r="BK1952"/>
  <c r="I1509"/>
  <c r="AW887"/>
  <c r="AZ890"/>
  <c r="BC240"/>
  <c r="BD240" s="1"/>
  <c r="AP668"/>
  <c r="AQ668" s="1"/>
  <c r="AV668" s="1"/>
  <c r="BC645"/>
  <c r="AS859"/>
  <c r="AT859" s="1"/>
  <c r="AS885"/>
  <c r="AT885" s="1"/>
  <c r="I855"/>
  <c r="K483"/>
  <c r="M483" s="1"/>
  <c r="K1806"/>
  <c r="AZ511"/>
  <c r="I1914"/>
  <c r="AW485"/>
  <c r="AJ1992"/>
  <c r="AO1992"/>
  <c r="AW239"/>
  <c r="I480"/>
  <c r="AZ481"/>
  <c r="M481" s="1"/>
  <c r="AW835"/>
  <c r="BR818"/>
  <c r="AO264"/>
  <c r="I1125"/>
  <c r="AW1021"/>
  <c r="AR1129"/>
  <c r="BQ278"/>
  <c r="AJ261"/>
  <c r="BI251" s="1"/>
  <c r="AW1430"/>
  <c r="BC1940"/>
  <c r="BD1940" s="1"/>
  <c r="M1969"/>
  <c r="K1970"/>
  <c r="AJ888"/>
  <c r="I888" s="1"/>
  <c r="AR1402"/>
  <c r="BR1385" s="1"/>
  <c r="AJ2019"/>
  <c r="I2019" s="1"/>
  <c r="V1127"/>
  <c r="V1128" s="1"/>
  <c r="V1129" s="1"/>
  <c r="V1130" s="1"/>
  <c r="V1131" s="1"/>
  <c r="V1132" s="1"/>
  <c r="V1235"/>
  <c r="V1236" s="1"/>
  <c r="V1237" s="1"/>
  <c r="V1238" s="1"/>
  <c r="V1239" s="1"/>
  <c r="V1240" s="1"/>
  <c r="W1240" s="1"/>
  <c r="AP263"/>
  <c r="AQ263" s="1"/>
  <c r="BK251"/>
  <c r="AX938"/>
  <c r="AP938"/>
  <c r="AQ938" s="1"/>
  <c r="AW938" s="1"/>
  <c r="BK926"/>
  <c r="BK440"/>
  <c r="AP452"/>
  <c r="AQ452" s="1"/>
  <c r="K452" s="1"/>
  <c r="AW290"/>
  <c r="AS290"/>
  <c r="AT290" s="1"/>
  <c r="AP2072"/>
  <c r="AQ2072" s="1"/>
  <c r="AW2072" s="1"/>
  <c r="BK2060"/>
  <c r="AX1991"/>
  <c r="AX263"/>
  <c r="BD1941"/>
  <c r="BE240"/>
  <c r="AP479"/>
  <c r="AQ479" s="1"/>
  <c r="I1131"/>
  <c r="AZ1129"/>
  <c r="M1129" s="1"/>
  <c r="BK818"/>
  <c r="AZ184"/>
  <c r="M184" s="1"/>
  <c r="AS750"/>
  <c r="AT750" s="1"/>
  <c r="AW265"/>
  <c r="AP318"/>
  <c r="AQ318" s="1"/>
  <c r="AP1398"/>
  <c r="AQ1398" s="1"/>
  <c r="AV1429"/>
  <c r="BK980"/>
  <c r="K1050"/>
  <c r="M1050" s="1"/>
  <c r="AS1803"/>
  <c r="AT1803" s="1"/>
  <c r="AS215"/>
  <c r="AT215" s="1"/>
  <c r="BM197"/>
  <c r="AP942"/>
  <c r="AQ942" s="1"/>
  <c r="AV942" s="1"/>
  <c r="AW913"/>
  <c r="I1455"/>
  <c r="I1617"/>
  <c r="K2078"/>
  <c r="AP1509"/>
  <c r="AQ1509" s="1"/>
  <c r="BE1347"/>
  <c r="BO872"/>
  <c r="BR872"/>
  <c r="AZ1508"/>
  <c r="M1508" s="1"/>
  <c r="AF1910"/>
  <c r="AG1910"/>
  <c r="AW512"/>
  <c r="AV512"/>
  <c r="AS2022"/>
  <c r="AT2022" s="1"/>
  <c r="K885"/>
  <c r="M885" s="1"/>
  <c r="I1989"/>
  <c r="AX290"/>
  <c r="BO1979"/>
  <c r="AV485"/>
  <c r="AF1992"/>
  <c r="AN1992"/>
  <c r="BO224"/>
  <c r="I510"/>
  <c r="AS620"/>
  <c r="AT620" s="1"/>
  <c r="BI278"/>
  <c r="AN1127"/>
  <c r="AG264"/>
  <c r="AJ1017"/>
  <c r="AJ180"/>
  <c r="BN1007"/>
  <c r="AO263"/>
  <c r="I1129"/>
  <c r="AX834"/>
  <c r="AF1725"/>
  <c r="AJ696"/>
  <c r="I696" s="1"/>
  <c r="AG317"/>
  <c r="BO1250"/>
  <c r="BZ1328"/>
  <c r="I698"/>
  <c r="BZ1191"/>
  <c r="I911"/>
  <c r="I1206"/>
  <c r="AN938"/>
  <c r="AJ348"/>
  <c r="I348" s="1"/>
  <c r="AI1613"/>
  <c r="AR1591"/>
  <c r="BR1574" s="1"/>
  <c r="AR1452"/>
  <c r="BC1455" s="1"/>
  <c r="AJ1640"/>
  <c r="AP1640" s="1"/>
  <c r="AQ1640" s="1"/>
  <c r="AR912"/>
  <c r="BL899" s="1"/>
  <c r="AO912"/>
  <c r="AO890"/>
  <c r="AQ890" s="1"/>
  <c r="V344"/>
  <c r="V345" s="1"/>
  <c r="V346" s="1"/>
  <c r="V347" s="1"/>
  <c r="V348" s="1"/>
  <c r="V349" s="1"/>
  <c r="W349" s="1"/>
  <c r="I264"/>
  <c r="BM251"/>
  <c r="AZ185"/>
  <c r="M185" s="1"/>
  <c r="BO170"/>
  <c r="BL170"/>
  <c r="AP1722"/>
  <c r="AQ1722" s="1"/>
  <c r="BM1709"/>
  <c r="BM683"/>
  <c r="AP696"/>
  <c r="AQ696" s="1"/>
  <c r="AS322"/>
  <c r="AT322" s="1"/>
  <c r="K322"/>
  <c r="I1425"/>
  <c r="BQ332"/>
  <c r="I1613"/>
  <c r="AJ1613"/>
  <c r="AZ1592"/>
  <c r="K1965"/>
  <c r="M1965" s="1"/>
  <c r="AS1965"/>
  <c r="AT1965" s="1"/>
  <c r="AV1968"/>
  <c r="AS1968"/>
  <c r="AT1968" s="1"/>
  <c r="BI2060"/>
  <c r="BR1925"/>
  <c r="AW1942"/>
  <c r="AZ1943"/>
  <c r="BS2060"/>
  <c r="AW2078"/>
  <c r="AR1996"/>
  <c r="AO1996"/>
  <c r="AQ1996" s="1"/>
  <c r="AV1996" s="1"/>
  <c r="BM629"/>
  <c r="AP642"/>
  <c r="AQ642" s="1"/>
  <c r="AW642" s="1"/>
  <c r="AS484"/>
  <c r="AT484" s="1"/>
  <c r="AW484"/>
  <c r="K484"/>
  <c r="BS467"/>
  <c r="AZ485"/>
  <c r="M485" s="1"/>
  <c r="AZ484"/>
  <c r="BS494"/>
  <c r="AZ512"/>
  <c r="M512" s="1"/>
  <c r="AP531"/>
  <c r="AZ779"/>
  <c r="M779" s="1"/>
  <c r="AW779"/>
  <c r="I915"/>
  <c r="AP915"/>
  <c r="AQ915" s="1"/>
  <c r="AS214"/>
  <c r="AT214" s="1"/>
  <c r="AV214"/>
  <c r="K1213"/>
  <c r="AW1213"/>
  <c r="AZ1454"/>
  <c r="M1454" s="1"/>
  <c r="BO1439"/>
  <c r="I1482"/>
  <c r="AP1482"/>
  <c r="AQ1482" s="1"/>
  <c r="AS1482" s="1"/>
  <c r="AT1482" s="1"/>
  <c r="AV1592"/>
  <c r="K1592"/>
  <c r="BS1385"/>
  <c r="AW1403"/>
  <c r="I1641"/>
  <c r="AP1641"/>
  <c r="AQ1641" s="1"/>
  <c r="AW1641" s="1"/>
  <c r="AP888"/>
  <c r="AQ888" s="1"/>
  <c r="BQ872"/>
  <c r="AZ1402"/>
  <c r="BM2006"/>
  <c r="AP2019"/>
  <c r="AQ2019" s="1"/>
  <c r="K2019" s="1"/>
  <c r="M2019" s="1"/>
  <c r="AW672"/>
  <c r="AV672"/>
  <c r="AW1806"/>
  <c r="AV1806"/>
  <c r="BI656"/>
  <c r="AX668"/>
  <c r="I240"/>
  <c r="AP240"/>
  <c r="AQ240" s="1"/>
  <c r="AV483"/>
  <c r="AS483"/>
  <c r="AT483" s="1"/>
  <c r="I237"/>
  <c r="AP237"/>
  <c r="AQ237" s="1"/>
  <c r="AS296"/>
  <c r="AT296" s="1"/>
  <c r="AV296"/>
  <c r="K296"/>
  <c r="M296" s="1"/>
  <c r="BN818"/>
  <c r="AW832"/>
  <c r="BI1115"/>
  <c r="AX1131"/>
  <c r="AO1127"/>
  <c r="AI1127"/>
  <c r="AR1127"/>
  <c r="BJ1115" s="1"/>
  <c r="AO1133"/>
  <c r="AQ1133" s="1"/>
  <c r="AR1133"/>
  <c r="BS1115" s="1"/>
  <c r="AV620"/>
  <c r="AW620"/>
  <c r="AN264"/>
  <c r="AF264"/>
  <c r="AR264"/>
  <c r="BL251" s="1"/>
  <c r="I834"/>
  <c r="AP834"/>
  <c r="AQ834" s="1"/>
  <c r="AP1152"/>
  <c r="AX1158"/>
  <c r="AZ616"/>
  <c r="M616" s="1"/>
  <c r="BN602"/>
  <c r="AR186"/>
  <c r="BP170" s="1"/>
  <c r="AO186"/>
  <c r="I185"/>
  <c r="AS185"/>
  <c r="AT185" s="1"/>
  <c r="I187"/>
  <c r="AR187"/>
  <c r="BR170" s="1"/>
  <c r="AX614"/>
  <c r="BI602"/>
  <c r="I1476"/>
  <c r="AJ1476"/>
  <c r="BN1601"/>
  <c r="AW1615"/>
  <c r="AP828"/>
  <c r="AZ1994"/>
  <c r="M1994" s="1"/>
  <c r="BS818"/>
  <c r="AP294"/>
  <c r="AQ294" s="1"/>
  <c r="AW294" s="1"/>
  <c r="AG1725"/>
  <c r="I1395"/>
  <c r="I1803"/>
  <c r="BZ1112"/>
  <c r="AO696"/>
  <c r="BZ1083"/>
  <c r="BZ516"/>
  <c r="BZ570"/>
  <c r="AN321"/>
  <c r="BQ980"/>
  <c r="AN1941"/>
  <c r="AO1401"/>
  <c r="I992"/>
  <c r="AO916"/>
  <c r="AQ916" s="1"/>
  <c r="AJ909"/>
  <c r="AR941"/>
  <c r="I943"/>
  <c r="AN1208"/>
  <c r="AO942"/>
  <c r="AR938"/>
  <c r="BJ926" s="1"/>
  <c r="AJ1209"/>
  <c r="AO348"/>
  <c r="I207"/>
  <c r="AF1455"/>
  <c r="AG1613"/>
  <c r="I1611"/>
  <c r="AO1452"/>
  <c r="AS697"/>
  <c r="AT697" s="1"/>
  <c r="AG912"/>
  <c r="AR914"/>
  <c r="AI344"/>
  <c r="I344" s="1"/>
  <c r="AN857"/>
  <c r="K539"/>
  <c r="AH1908"/>
  <c r="AW536"/>
  <c r="AR863"/>
  <c r="AW863" s="1"/>
  <c r="AH261"/>
  <c r="AP261" s="1"/>
  <c r="AZ835"/>
  <c r="BC1805"/>
  <c r="AX996"/>
  <c r="AG1263"/>
  <c r="AX1640"/>
  <c r="BK1628"/>
  <c r="BL1628"/>
  <c r="BC1643"/>
  <c r="AX510"/>
  <c r="AP504"/>
  <c r="AR1995"/>
  <c r="BP1979" s="1"/>
  <c r="AF1995"/>
  <c r="AG1995"/>
  <c r="I453"/>
  <c r="AP453"/>
  <c r="AQ453" s="1"/>
  <c r="K453" s="1"/>
  <c r="M453" s="1"/>
  <c r="AS241"/>
  <c r="AT241" s="1"/>
  <c r="AV241"/>
  <c r="AZ242"/>
  <c r="BC239"/>
  <c r="AG1131"/>
  <c r="AR1131"/>
  <c r="BP1115" s="1"/>
  <c r="AN1131"/>
  <c r="AR1128"/>
  <c r="BC1131" s="1"/>
  <c r="AF1128"/>
  <c r="AJ1128"/>
  <c r="AR266"/>
  <c r="AS266"/>
  <c r="AT266" s="1"/>
  <c r="AO1916"/>
  <c r="AQ1916" s="1"/>
  <c r="BO818"/>
  <c r="AW833"/>
  <c r="AG1478"/>
  <c r="AN1478"/>
  <c r="AO1478"/>
  <c r="K104" i="58"/>
  <c r="M104" s="1"/>
  <c r="AF104"/>
  <c r="AG104" s="1"/>
  <c r="AP1020" i="50"/>
  <c r="AQ1020" s="1"/>
  <c r="BM1007"/>
  <c r="AS1024"/>
  <c r="AT1024" s="1"/>
  <c r="AV1024"/>
  <c r="BR440"/>
  <c r="AW457"/>
  <c r="BC887"/>
  <c r="AZ889"/>
  <c r="AZ2021"/>
  <c r="M2021" s="1"/>
  <c r="AW2021"/>
  <c r="BI629"/>
  <c r="AS511"/>
  <c r="AT511" s="1"/>
  <c r="AW511"/>
  <c r="K511"/>
  <c r="AN1911"/>
  <c r="AG1911"/>
  <c r="AO1911"/>
  <c r="AJ186"/>
  <c r="AN186"/>
  <c r="AG186"/>
  <c r="AR188"/>
  <c r="AO188"/>
  <c r="AQ188" s="1"/>
  <c r="AW188" s="1"/>
  <c r="BM1142"/>
  <c r="I1155"/>
  <c r="AP1155"/>
  <c r="AQ1155" s="1"/>
  <c r="AG263"/>
  <c r="AF263"/>
  <c r="AR263"/>
  <c r="BJ251" s="1"/>
  <c r="BO602"/>
  <c r="AW617"/>
  <c r="I1481"/>
  <c r="AR1481"/>
  <c r="AF1721"/>
  <c r="AR1721"/>
  <c r="BJ1709" s="1"/>
  <c r="AO1721"/>
  <c r="AN1721"/>
  <c r="AN1725"/>
  <c r="AR1725"/>
  <c r="BP1709" s="1"/>
  <c r="AJ1725"/>
  <c r="AR267"/>
  <c r="BP251" s="1"/>
  <c r="AN267"/>
  <c r="AO267"/>
  <c r="AJ267"/>
  <c r="BR1142"/>
  <c r="AZ1159"/>
  <c r="AW1159"/>
  <c r="K993"/>
  <c r="M993" s="1"/>
  <c r="AV993"/>
  <c r="AR967"/>
  <c r="AZ967" s="1"/>
  <c r="M967" s="1"/>
  <c r="AS967"/>
  <c r="AT967" s="1"/>
  <c r="BC833"/>
  <c r="BC834"/>
  <c r="AO269"/>
  <c r="AQ269" s="1"/>
  <c r="AR269"/>
  <c r="BS251" s="1"/>
  <c r="AX2072"/>
  <c r="AX1343"/>
  <c r="BZ1272"/>
  <c r="BZ923"/>
  <c r="BZ462"/>
  <c r="BZ221"/>
  <c r="BM1790"/>
  <c r="BZ1706"/>
  <c r="AS1808"/>
  <c r="AT1808" s="1"/>
  <c r="I315"/>
  <c r="AR317"/>
  <c r="BJ305" s="1"/>
  <c r="AX1347"/>
  <c r="AZ1265"/>
  <c r="M1265" s="1"/>
  <c r="BZ1218"/>
  <c r="BR1790"/>
  <c r="AJ1422"/>
  <c r="BI1412" s="1"/>
  <c r="AR698"/>
  <c r="AS779"/>
  <c r="AT779" s="1"/>
  <c r="AJ1935"/>
  <c r="BZ248"/>
  <c r="AP996"/>
  <c r="AQ996" s="1"/>
  <c r="AR1941"/>
  <c r="BP1925" s="1"/>
  <c r="AR916"/>
  <c r="AS913"/>
  <c r="AT913" s="1"/>
  <c r="AS941"/>
  <c r="AT941" s="1"/>
  <c r="AR943"/>
  <c r="AR942"/>
  <c r="BP926" s="1"/>
  <c r="AO1209"/>
  <c r="AN1455"/>
  <c r="AO1618"/>
  <c r="AQ1618" s="1"/>
  <c r="AO1591"/>
  <c r="AQ1591" s="1"/>
  <c r="AJ1584"/>
  <c r="K296" i="58"/>
  <c r="M296" s="1"/>
  <c r="AP1962" i="50"/>
  <c r="AR697"/>
  <c r="AZ697" s="1"/>
  <c r="M697" s="1"/>
  <c r="AZ1643"/>
  <c r="M1643" s="1"/>
  <c r="AX1968"/>
  <c r="M1968" s="1"/>
  <c r="I1644"/>
  <c r="AJ966"/>
  <c r="AF912"/>
  <c r="AN912"/>
  <c r="I914"/>
  <c r="AS346"/>
  <c r="AT346" s="1"/>
  <c r="AO857"/>
  <c r="I455"/>
  <c r="I349"/>
  <c r="AN452"/>
  <c r="AV1267"/>
  <c r="AS1267"/>
  <c r="AT1267" s="1"/>
  <c r="AG1401"/>
  <c r="AF1401"/>
  <c r="I1724"/>
  <c r="AS1724"/>
  <c r="AT1724" s="1"/>
  <c r="AR1724"/>
  <c r="BO1709" s="1"/>
  <c r="AG696"/>
  <c r="AF696"/>
  <c r="AN696"/>
  <c r="BS1250"/>
  <c r="AZ1268"/>
  <c r="AR1429"/>
  <c r="I1429"/>
  <c r="I1427"/>
  <c r="AR1427"/>
  <c r="BO1331"/>
  <c r="AW1346"/>
  <c r="AF861"/>
  <c r="AG861"/>
  <c r="BN1790"/>
  <c r="AW1804"/>
  <c r="AF857"/>
  <c r="AI857"/>
  <c r="AG857"/>
  <c r="BO1790"/>
  <c r="AZ1805"/>
  <c r="M1805" s="1"/>
  <c r="AJ1941"/>
  <c r="AG1941"/>
  <c r="AO1941"/>
  <c r="I1022"/>
  <c r="AR1022"/>
  <c r="BO1007" s="1"/>
  <c r="BL1790"/>
  <c r="BC1806"/>
  <c r="I1050"/>
  <c r="BQ1034"/>
  <c r="I1994"/>
  <c r="AS1994"/>
  <c r="AT1994" s="1"/>
  <c r="AR1939"/>
  <c r="AS1939"/>
  <c r="AT1939" s="1"/>
  <c r="BI1790"/>
  <c r="AX1806"/>
  <c r="M1806" s="1"/>
  <c r="I782"/>
  <c r="AO782"/>
  <c r="AQ782" s="1"/>
  <c r="I778"/>
  <c r="AS778"/>
  <c r="AT778" s="1"/>
  <c r="AJ321"/>
  <c r="AO321"/>
  <c r="AG321"/>
  <c r="I320"/>
  <c r="AS320"/>
  <c r="AT320" s="1"/>
  <c r="AI317"/>
  <c r="AF317"/>
  <c r="AO317"/>
  <c r="AP990"/>
  <c r="BI980"/>
  <c r="AF942"/>
  <c r="AG942"/>
  <c r="AN942"/>
  <c r="AO944"/>
  <c r="AQ944" s="1"/>
  <c r="I944"/>
  <c r="AR700"/>
  <c r="AO700"/>
  <c r="AQ700" s="1"/>
  <c r="I700"/>
  <c r="AG938"/>
  <c r="AO938"/>
  <c r="AF938"/>
  <c r="AR215"/>
  <c r="I215"/>
  <c r="AR214"/>
  <c r="I214"/>
  <c r="AN348"/>
  <c r="AF348"/>
  <c r="AG348"/>
  <c r="AN1209"/>
  <c r="AG1209"/>
  <c r="AR1209"/>
  <c r="AG1208"/>
  <c r="AI1208"/>
  <c r="AO1208"/>
  <c r="AO971"/>
  <c r="AQ971" s="1"/>
  <c r="AR971"/>
  <c r="AZ971" s="1"/>
  <c r="AR1613"/>
  <c r="BJ1601" s="1"/>
  <c r="AF1613"/>
  <c r="AO1613"/>
  <c r="AS1615"/>
  <c r="AT1615" s="1"/>
  <c r="I1615"/>
  <c r="AR1457"/>
  <c r="AO1457"/>
  <c r="AQ1457" s="1"/>
  <c r="AG1455"/>
  <c r="AO1455"/>
  <c r="AR1455"/>
  <c r="BP1439" s="1"/>
  <c r="AJ1452"/>
  <c r="AG1452"/>
  <c r="AF1452"/>
  <c r="AN969"/>
  <c r="AR969"/>
  <c r="BP953" s="1"/>
  <c r="AF969"/>
  <c r="AO969"/>
  <c r="AG969"/>
  <c r="AR966"/>
  <c r="BL953" s="1"/>
  <c r="AO966"/>
  <c r="BM899"/>
  <c r="AP912"/>
  <c r="AQ912" s="1"/>
  <c r="AI965"/>
  <c r="AN965"/>
  <c r="AR965"/>
  <c r="BJ953" s="1"/>
  <c r="AG965"/>
  <c r="AF965"/>
  <c r="AS1970"/>
  <c r="AT1970" s="1"/>
  <c r="AV1970"/>
  <c r="I1211"/>
  <c r="AR1211"/>
  <c r="BN521"/>
  <c r="AZ535"/>
  <c r="M535" s="1"/>
  <c r="AW1642"/>
  <c r="AZ1642"/>
  <c r="M1642" s="1"/>
  <c r="AG344"/>
  <c r="AN344"/>
  <c r="AO344"/>
  <c r="AF344"/>
  <c r="AG1212"/>
  <c r="AO1212"/>
  <c r="AJ1212"/>
  <c r="BZ545"/>
  <c r="BZ543"/>
  <c r="AR2074"/>
  <c r="I2074"/>
  <c r="AJ2073"/>
  <c r="AF2073"/>
  <c r="AN2073"/>
  <c r="I2077"/>
  <c r="AO2077"/>
  <c r="AQ2077" s="1"/>
  <c r="K328" i="58"/>
  <c r="M328" s="1"/>
  <c r="AF328"/>
  <c r="AG328" s="1"/>
  <c r="I450" i="50"/>
  <c r="AJ450"/>
  <c r="AV618"/>
  <c r="K618"/>
  <c r="M618" s="1"/>
  <c r="AN753"/>
  <c r="AF753"/>
  <c r="AZ751"/>
  <c r="M751" s="1"/>
  <c r="AW751"/>
  <c r="AO749"/>
  <c r="AI749"/>
  <c r="I749" s="1"/>
  <c r="AN749"/>
  <c r="AF749"/>
  <c r="I882"/>
  <c r="AJ882"/>
  <c r="AG884"/>
  <c r="AR884"/>
  <c r="BJ872" s="1"/>
  <c r="AF888"/>
  <c r="AR888"/>
  <c r="BP872" s="1"/>
  <c r="AO2019"/>
  <c r="AF2019"/>
  <c r="AN1506"/>
  <c r="AG1506"/>
  <c r="AP1044"/>
  <c r="N1710"/>
  <c r="BU1709" s="1"/>
  <c r="M295"/>
  <c r="AX1964"/>
  <c r="AP234"/>
  <c r="AP477"/>
  <c r="AH1422"/>
  <c r="AP1422" s="1"/>
  <c r="AH1935"/>
  <c r="AP1935" s="1"/>
  <c r="AH909"/>
  <c r="AH1611"/>
  <c r="AP1611" s="1"/>
  <c r="AH342"/>
  <c r="AP342" s="1"/>
  <c r="AW914"/>
  <c r="AZ914"/>
  <c r="M914" s="1"/>
  <c r="AP1721"/>
  <c r="AQ1721" s="1"/>
  <c r="AP1478"/>
  <c r="AQ1478" s="1"/>
  <c r="AW1478" s="1"/>
  <c r="AP1989"/>
  <c r="AP963"/>
  <c r="AG1398"/>
  <c r="AF1398"/>
  <c r="AO1398"/>
  <c r="BC1265"/>
  <c r="BR1250"/>
  <c r="AZ1267"/>
  <c r="AW1267"/>
  <c r="AJ699"/>
  <c r="AR699"/>
  <c r="BP683" s="1"/>
  <c r="AG699"/>
  <c r="AP1347"/>
  <c r="AQ1347" s="1"/>
  <c r="I1347"/>
  <c r="AN1428"/>
  <c r="AJ1428"/>
  <c r="AP1428" s="1"/>
  <c r="AQ1428" s="1"/>
  <c r="AO1428"/>
  <c r="AO1424"/>
  <c r="AI1424"/>
  <c r="AR1424"/>
  <c r="BJ1412" s="1"/>
  <c r="AF1425"/>
  <c r="AN1425"/>
  <c r="AR1425"/>
  <c r="BN1331"/>
  <c r="AZ1345"/>
  <c r="AO318"/>
  <c r="AG318"/>
  <c r="AR318"/>
  <c r="AW318" s="1"/>
  <c r="AR695"/>
  <c r="BJ683" s="1"/>
  <c r="AN695"/>
  <c r="AG695"/>
  <c r="AR1937"/>
  <c r="BJ1925" s="1"/>
  <c r="AO1937"/>
  <c r="AI1937"/>
  <c r="AJ1938"/>
  <c r="AF1938"/>
  <c r="AO1938"/>
  <c r="AW1807"/>
  <c r="AV1807"/>
  <c r="BS1790"/>
  <c r="AZ1808"/>
  <c r="AR858"/>
  <c r="BL845" s="1"/>
  <c r="AN858"/>
  <c r="AG858"/>
  <c r="AF858"/>
  <c r="BR980"/>
  <c r="AZ998"/>
  <c r="AW997"/>
  <c r="AG780"/>
  <c r="AJ780"/>
  <c r="AO780"/>
  <c r="AI776"/>
  <c r="AG776"/>
  <c r="AF776"/>
  <c r="AO323"/>
  <c r="AQ323" s="1"/>
  <c r="AR323"/>
  <c r="BC1130"/>
  <c r="M836"/>
  <c r="AH1395"/>
  <c r="AP1395" s="1"/>
  <c r="AP774"/>
  <c r="AP315"/>
  <c r="AS1430"/>
  <c r="AT1430" s="1"/>
  <c r="AX1266"/>
  <c r="AZ1399"/>
  <c r="M1399" s="1"/>
  <c r="BO1385"/>
  <c r="AN915"/>
  <c r="AF915"/>
  <c r="AR917"/>
  <c r="AG210"/>
  <c r="AF210"/>
  <c r="AR211"/>
  <c r="AR209"/>
  <c r="BJ197" s="1"/>
  <c r="AG209"/>
  <c r="AR939"/>
  <c r="AW939" s="1"/>
  <c r="AG939"/>
  <c r="AS347"/>
  <c r="AT347" s="1"/>
  <c r="AR212"/>
  <c r="I1454"/>
  <c r="AO1456"/>
  <c r="AQ1456" s="1"/>
  <c r="AF1482"/>
  <c r="AO1482"/>
  <c r="AR1482"/>
  <c r="BP1466" s="1"/>
  <c r="AF1451"/>
  <c r="AO1451"/>
  <c r="AN1617"/>
  <c r="AR1617"/>
  <c r="BP1601" s="1"/>
  <c r="AZ1970"/>
  <c r="M1970" s="1"/>
  <c r="BO1628"/>
  <c r="BQ1628"/>
  <c r="AP1644"/>
  <c r="AQ1644" s="1"/>
  <c r="AR2077"/>
  <c r="I1399"/>
  <c r="AG2073"/>
  <c r="AO2073"/>
  <c r="I993"/>
  <c r="BQ602"/>
  <c r="I1343"/>
  <c r="I618"/>
  <c r="BC1346"/>
  <c r="AP507"/>
  <c r="AQ507" s="1"/>
  <c r="AW507" s="1"/>
  <c r="I1400"/>
  <c r="AS1723"/>
  <c r="AT1723" s="1"/>
  <c r="AO1509"/>
  <c r="AR1509"/>
  <c r="BP1493" s="1"/>
  <c r="AO1511"/>
  <c r="AQ1511" s="1"/>
  <c r="AO755"/>
  <c r="AQ755" s="1"/>
  <c r="AS755" s="1"/>
  <c r="AT755" s="1"/>
  <c r="AF2022"/>
  <c r="AG888"/>
  <c r="AO888"/>
  <c r="AR749"/>
  <c r="BJ737" s="1"/>
  <c r="AF884"/>
  <c r="AI884"/>
  <c r="AN1590"/>
  <c r="I2024"/>
  <c r="AN2022"/>
  <c r="AO2024"/>
  <c r="AQ2024" s="1"/>
  <c r="I890"/>
  <c r="AG2022"/>
  <c r="AR2019"/>
  <c r="AG2019"/>
  <c r="AO753"/>
  <c r="AF1506"/>
  <c r="AG753"/>
  <c r="AJ753"/>
  <c r="AR753"/>
  <c r="BP737" s="1"/>
  <c r="AJ1503"/>
  <c r="AX1509" s="1"/>
  <c r="I346"/>
  <c r="BO278"/>
  <c r="AZ536"/>
  <c r="M536" s="1"/>
  <c r="AJ236"/>
  <c r="AO452"/>
  <c r="I752"/>
  <c r="AG749"/>
  <c r="BC348"/>
  <c r="AR2022"/>
  <c r="AH1503"/>
  <c r="I1507"/>
  <c r="AP909"/>
  <c r="AX1451"/>
  <c r="AP1451"/>
  <c r="AQ1451" s="1"/>
  <c r="K1451" s="1"/>
  <c r="M1451" s="1"/>
  <c r="AP1908"/>
  <c r="AX1914"/>
  <c r="K290"/>
  <c r="AV290"/>
  <c r="AZ1132"/>
  <c r="AZ1133"/>
  <c r="AX186"/>
  <c r="AZ1480"/>
  <c r="M1480" s="1"/>
  <c r="BN1466"/>
  <c r="BN953"/>
  <c r="AW967"/>
  <c r="BE833"/>
  <c r="BD833"/>
  <c r="I456"/>
  <c r="AP456"/>
  <c r="AQ456" s="1"/>
  <c r="AS456" s="1"/>
  <c r="AT456" s="1"/>
  <c r="AV506"/>
  <c r="BE888"/>
  <c r="BL1115"/>
  <c r="I1128"/>
  <c r="BE293"/>
  <c r="M241"/>
  <c r="BD347"/>
  <c r="BL1466"/>
  <c r="K835"/>
  <c r="M835" s="1"/>
  <c r="AS835"/>
  <c r="AT835" s="1"/>
  <c r="K1997"/>
  <c r="AV1997"/>
  <c r="AC562"/>
  <c r="AC563"/>
  <c r="AS558"/>
  <c r="AT558" s="1"/>
  <c r="AC564"/>
  <c r="AF558"/>
  <c r="AC566"/>
  <c r="AC560"/>
  <c r="AI560" s="1"/>
  <c r="AI558"/>
  <c r="AG558"/>
  <c r="AC561"/>
  <c r="AC565"/>
  <c r="BM170"/>
  <c r="BC185"/>
  <c r="BK1142"/>
  <c r="AP830"/>
  <c r="AQ830" s="1"/>
  <c r="BI764"/>
  <c r="BN764"/>
  <c r="AV323"/>
  <c r="BI683"/>
  <c r="AW1803"/>
  <c r="AZ1942"/>
  <c r="AW1724"/>
  <c r="AZ1724"/>
  <c r="M1724" s="1"/>
  <c r="BC455"/>
  <c r="AP480"/>
  <c r="AQ480" s="1"/>
  <c r="K1483"/>
  <c r="M619"/>
  <c r="BQ737"/>
  <c r="AW993"/>
  <c r="BE995"/>
  <c r="AN1398"/>
  <c r="AR1398"/>
  <c r="AN1401"/>
  <c r="AJ1401"/>
  <c r="K1267"/>
  <c r="M1267" s="1"/>
  <c r="AZ646"/>
  <c r="AZ1349"/>
  <c r="AS1399"/>
  <c r="AT1399" s="1"/>
  <c r="BC996"/>
  <c r="I1723"/>
  <c r="AZ997"/>
  <c r="AR1483"/>
  <c r="BC1481" s="1"/>
  <c r="AS1400"/>
  <c r="AT1400" s="1"/>
  <c r="AR1997"/>
  <c r="AR861"/>
  <c r="BP845" s="1"/>
  <c r="AO349"/>
  <c r="AQ349" s="1"/>
  <c r="AO345"/>
  <c r="AP639"/>
  <c r="AW535"/>
  <c r="BM656"/>
  <c r="AF456"/>
  <c r="AN456"/>
  <c r="I2022"/>
  <c r="I342"/>
  <c r="AW238"/>
  <c r="M292"/>
  <c r="I615"/>
  <c r="I751"/>
  <c r="AJ1590"/>
  <c r="AR1590"/>
  <c r="BP1574" s="1"/>
  <c r="M511"/>
  <c r="M997"/>
  <c r="M1345"/>
  <c r="V452"/>
  <c r="V453" s="1"/>
  <c r="V454" s="1"/>
  <c r="V455" s="1"/>
  <c r="V456" s="1"/>
  <c r="V457" s="1"/>
  <c r="W457" s="1"/>
  <c r="AS647"/>
  <c r="AT647" s="1"/>
  <c r="AW647"/>
  <c r="AV647"/>
  <c r="K647"/>
  <c r="AR1130"/>
  <c r="I1130"/>
  <c r="AS1130"/>
  <c r="AT1130" s="1"/>
  <c r="AO268"/>
  <c r="AQ268" s="1"/>
  <c r="AR268"/>
  <c r="I268"/>
  <c r="AV1943"/>
  <c r="AW1943"/>
  <c r="AS1943"/>
  <c r="AT1943" s="1"/>
  <c r="K1943"/>
  <c r="AS889"/>
  <c r="AT889" s="1"/>
  <c r="AW889"/>
  <c r="AV889"/>
  <c r="K889"/>
  <c r="K168" i="58"/>
  <c r="M168" s="1"/>
  <c r="AF168"/>
  <c r="AG168" s="1"/>
  <c r="BR1007" i="50"/>
  <c r="BC1023"/>
  <c r="AW1024"/>
  <c r="BC1022"/>
  <c r="AS1645"/>
  <c r="AT1645" s="1"/>
  <c r="AW1645"/>
  <c r="AV1645"/>
  <c r="K1645"/>
  <c r="AS242"/>
  <c r="AT242" s="1"/>
  <c r="AW242"/>
  <c r="K242"/>
  <c r="M242" s="1"/>
  <c r="AV242"/>
  <c r="AG534"/>
  <c r="AN534"/>
  <c r="AF534"/>
  <c r="AJ534"/>
  <c r="AO534"/>
  <c r="AR534"/>
  <c r="BC1967"/>
  <c r="BH1952"/>
  <c r="BC1968"/>
  <c r="AS506"/>
  <c r="AT506" s="1"/>
  <c r="BE1940"/>
  <c r="BO899"/>
  <c r="AP1266"/>
  <c r="AQ1266" s="1"/>
  <c r="AS1266" s="1"/>
  <c r="AT1266" s="1"/>
  <c r="AI720"/>
  <c r="AC1156"/>
  <c r="K938"/>
  <c r="M938" s="1"/>
  <c r="AV938"/>
  <c r="AS1802"/>
  <c r="AT1802" s="1"/>
  <c r="AV1802"/>
  <c r="K1802"/>
  <c r="M1802" s="1"/>
  <c r="K291"/>
  <c r="M291" s="1"/>
  <c r="AV291"/>
  <c r="AW291"/>
  <c r="AS291"/>
  <c r="AT291" s="1"/>
  <c r="AW1617"/>
  <c r="AS1617"/>
  <c r="AT1617" s="1"/>
  <c r="AS1132"/>
  <c r="AT1132" s="1"/>
  <c r="AW1132"/>
  <c r="AV1132"/>
  <c r="K1132"/>
  <c r="M1132" s="1"/>
  <c r="I969"/>
  <c r="AP969"/>
  <c r="AQ969" s="1"/>
  <c r="AS997"/>
  <c r="AT997" s="1"/>
  <c r="AV997"/>
  <c r="AS646"/>
  <c r="AT646" s="1"/>
  <c r="AV646"/>
  <c r="K646"/>
  <c r="K72" i="58"/>
  <c r="M72" s="1"/>
  <c r="AF72"/>
  <c r="AG72" s="1"/>
  <c r="AO1646" i="50"/>
  <c r="AQ1646" s="1"/>
  <c r="AR1646"/>
  <c r="AC399"/>
  <c r="AC400"/>
  <c r="AI396"/>
  <c r="AF396"/>
  <c r="AC402"/>
  <c r="AC403"/>
  <c r="AC398"/>
  <c r="AC401"/>
  <c r="AG396"/>
  <c r="AS396"/>
  <c r="AT396" s="1"/>
  <c r="AC404"/>
  <c r="AF229" i="58"/>
  <c r="AG229" s="1"/>
  <c r="AE229"/>
  <c r="AW218" s="1"/>
  <c r="Y805" i="50"/>
  <c r="Y807"/>
  <c r="Y809"/>
  <c r="Y806"/>
  <c r="Y804"/>
  <c r="N792"/>
  <c r="BU791" s="1"/>
  <c r="N791"/>
  <c r="BT791" s="1"/>
  <c r="AC796"/>
  <c r="Y803"/>
  <c r="Y808"/>
  <c r="Y801"/>
  <c r="BZ796"/>
  <c r="R801"/>
  <c r="BX791" s="1"/>
  <c r="R794"/>
  <c r="BV791" s="1"/>
  <c r="R800"/>
  <c r="BW791" s="1"/>
  <c r="Y1241"/>
  <c r="Y1240"/>
  <c r="Y1236"/>
  <c r="R1232"/>
  <c r="BW1223" s="1"/>
  <c r="BZ1228"/>
  <c r="R1226"/>
  <c r="BV1223" s="1"/>
  <c r="Y1233"/>
  <c r="Y1237"/>
  <c r="Y1239"/>
  <c r="Y1238"/>
  <c r="Y1235"/>
  <c r="AC1228"/>
  <c r="N1224"/>
  <c r="BU1223" s="1"/>
  <c r="R1233"/>
  <c r="BX1223" s="1"/>
  <c r="AS1969"/>
  <c r="AT1969" s="1"/>
  <c r="AW1969"/>
  <c r="AV1969"/>
  <c r="AW1426"/>
  <c r="BN1412"/>
  <c r="K998"/>
  <c r="M998" s="1"/>
  <c r="AV998"/>
  <c r="I1726"/>
  <c r="AO1726"/>
  <c r="AQ1726" s="1"/>
  <c r="AS1726" s="1"/>
  <c r="AT1726" s="1"/>
  <c r="AR1726"/>
  <c r="AY777"/>
  <c r="AC777"/>
  <c r="BZ777"/>
  <c r="AY1076"/>
  <c r="BZ1076"/>
  <c r="AY1752"/>
  <c r="BZ1752"/>
  <c r="V458"/>
  <c r="W458" s="1"/>
  <c r="M1592"/>
  <c r="H2127"/>
  <c r="H105" i="62" s="1"/>
  <c r="V317" i="50"/>
  <c r="V318" s="1"/>
  <c r="V319" s="1"/>
  <c r="V320" s="1"/>
  <c r="V321" s="1"/>
  <c r="V322" s="1"/>
  <c r="V182"/>
  <c r="V183" s="1"/>
  <c r="V184" s="1"/>
  <c r="V185" s="1"/>
  <c r="V186" s="1"/>
  <c r="V187" s="1"/>
  <c r="AV1263"/>
  <c r="M994"/>
  <c r="AH1476"/>
  <c r="AP1476" s="1"/>
  <c r="AP1260"/>
  <c r="AF2018"/>
  <c r="M293"/>
  <c r="AH2016"/>
  <c r="AP2016" s="1"/>
  <c r="AR1510"/>
  <c r="N1223"/>
  <c r="BT1223" s="1"/>
  <c r="V2072"/>
  <c r="V2073" s="1"/>
  <c r="V2074" s="1"/>
  <c r="V2075" s="1"/>
  <c r="V2076" s="1"/>
  <c r="V2077" s="1"/>
  <c r="K264"/>
  <c r="M264" s="1"/>
  <c r="AS264"/>
  <c r="AT264" s="1"/>
  <c r="AW264"/>
  <c r="AV1482"/>
  <c r="K1482"/>
  <c r="K1509"/>
  <c r="AW1509"/>
  <c r="K668"/>
  <c r="M668" s="1"/>
  <c r="AS668"/>
  <c r="AT668" s="1"/>
  <c r="AV1479"/>
  <c r="K1479"/>
  <c r="M1479" s="1"/>
  <c r="AS1479"/>
  <c r="AT1479" s="1"/>
  <c r="AW1479"/>
  <c r="BR1466"/>
  <c r="AW755"/>
  <c r="AP1503"/>
  <c r="AS1349"/>
  <c r="AT1349" s="1"/>
  <c r="AW1349"/>
  <c r="K1349"/>
  <c r="I1484"/>
  <c r="AO1484"/>
  <c r="AQ1484" s="1"/>
  <c r="AR1484"/>
  <c r="AS1484"/>
  <c r="AT1484" s="1"/>
  <c r="BZ327"/>
  <c r="BZ329"/>
  <c r="AF213"/>
  <c r="AJ213"/>
  <c r="AR213"/>
  <c r="BP197" s="1"/>
  <c r="AN213"/>
  <c r="AO213"/>
  <c r="AG213"/>
  <c r="M672"/>
  <c r="AZ1022"/>
  <c r="M1022" s="1"/>
  <c r="AW697"/>
  <c r="BN683"/>
  <c r="AW970"/>
  <c r="BR953"/>
  <c r="AJ749"/>
  <c r="AV1726"/>
  <c r="BR629"/>
  <c r="AW646"/>
  <c r="AZ647"/>
  <c r="AS1940"/>
  <c r="AT1940" s="1"/>
  <c r="I1940"/>
  <c r="AR1940"/>
  <c r="AS1646"/>
  <c r="AT1646" s="1"/>
  <c r="AV1646"/>
  <c r="AW1646"/>
  <c r="K1646"/>
  <c r="AP855"/>
  <c r="M666"/>
  <c r="AR666"/>
  <c r="V350"/>
  <c r="W350" s="1"/>
  <c r="Y591"/>
  <c r="AC580"/>
  <c r="Y593"/>
  <c r="Y585"/>
  <c r="R585"/>
  <c r="BX575" s="1"/>
  <c r="R584"/>
  <c r="BW575" s="1"/>
  <c r="BZ580"/>
  <c r="Y592"/>
  <c r="Y587"/>
  <c r="Y588"/>
  <c r="Y589"/>
  <c r="Y590"/>
  <c r="N576"/>
  <c r="BU575" s="1"/>
  <c r="N575"/>
  <c r="BT575" s="1"/>
  <c r="R578"/>
  <c r="BV575" s="1"/>
  <c r="Q666"/>
  <c r="AK666"/>
  <c r="BD669"/>
  <c r="Q659"/>
  <c r="Q656"/>
  <c r="BC670"/>
  <c r="BE668"/>
  <c r="BD668"/>
  <c r="N656"/>
  <c r="BT656" s="1"/>
  <c r="R666"/>
  <c r="BX656" s="1"/>
  <c r="R659"/>
  <c r="BV656" s="1"/>
  <c r="R665"/>
  <c r="BW656" s="1"/>
  <c r="Q665"/>
  <c r="Q657"/>
  <c r="AK668"/>
  <c r="BC669"/>
  <c r="BE670"/>
  <c r="BD670"/>
  <c r="N657"/>
  <c r="BU656" s="1"/>
  <c r="V809"/>
  <c r="W809" s="1"/>
  <c r="W808"/>
  <c r="Q875"/>
  <c r="Q882"/>
  <c r="BD886"/>
  <c r="BD885"/>
  <c r="AK884"/>
  <c r="AK882"/>
  <c r="N872"/>
  <c r="BT872" s="1"/>
  <c r="BE886"/>
  <c r="BC886"/>
  <c r="BC885"/>
  <c r="Q873"/>
  <c r="Q881"/>
  <c r="BD884"/>
  <c r="Q872"/>
  <c r="N873"/>
  <c r="BU872" s="1"/>
  <c r="R882"/>
  <c r="BX872" s="1"/>
  <c r="R881"/>
  <c r="BW872" s="1"/>
  <c r="R875"/>
  <c r="BV872" s="1"/>
  <c r="BE884"/>
  <c r="BC884"/>
  <c r="V1133"/>
  <c r="W1133" s="1"/>
  <c r="W1132"/>
  <c r="BE1453"/>
  <c r="Q1448"/>
  <c r="AK1449"/>
  <c r="Q1440"/>
  <c r="BD1453"/>
  <c r="Q1439"/>
  <c r="Q1449"/>
  <c r="BE1451"/>
  <c r="R1448"/>
  <c r="BW1439" s="1"/>
  <c r="R1442"/>
  <c r="BV1439" s="1"/>
  <c r="N1440"/>
  <c r="BU1439" s="1"/>
  <c r="BC1452"/>
  <c r="BC1453"/>
  <c r="BE1452"/>
  <c r="Q1442"/>
  <c r="AK1451"/>
  <c r="BD1451"/>
  <c r="BD1452"/>
  <c r="R1449"/>
  <c r="BX1439" s="1"/>
  <c r="N1439"/>
  <c r="BT1439" s="1"/>
  <c r="BC1451"/>
  <c r="Y1827"/>
  <c r="Y1835"/>
  <c r="Y1834"/>
  <c r="Y1832"/>
  <c r="R1820"/>
  <c r="BV1817" s="1"/>
  <c r="BZ1822"/>
  <c r="Y1833"/>
  <c r="Y1831"/>
  <c r="Y1830"/>
  <c r="AC1822"/>
  <c r="Y1829"/>
  <c r="N1818"/>
  <c r="BU1817" s="1"/>
  <c r="R1826"/>
  <c r="BW1817" s="1"/>
  <c r="N1817"/>
  <c r="BT1817" s="1"/>
  <c r="M1159"/>
  <c r="AZ1348"/>
  <c r="M538"/>
  <c r="AJ858"/>
  <c r="M673"/>
  <c r="AP666"/>
  <c r="AP612"/>
  <c r="AP288"/>
  <c r="AO1590"/>
  <c r="AJ1506"/>
  <c r="AR1506"/>
  <c r="AX2022"/>
  <c r="M2022" s="1"/>
  <c r="AC1851"/>
  <c r="AC1854"/>
  <c r="AK1179"/>
  <c r="Q1172"/>
  <c r="AK1181"/>
  <c r="Q1170"/>
  <c r="Q1169"/>
  <c r="R1179"/>
  <c r="BX1169" s="1"/>
  <c r="N1170"/>
  <c r="BU1169" s="1"/>
  <c r="R1178"/>
  <c r="BW1169" s="1"/>
  <c r="BD1182"/>
  <c r="BD1183"/>
  <c r="BC1181"/>
  <c r="BE1183"/>
  <c r="Q1179"/>
  <c r="Q1178"/>
  <c r="R1172"/>
  <c r="BV1169" s="1"/>
  <c r="BE1182"/>
  <c r="BE1181"/>
  <c r="N1169"/>
  <c r="BT1169" s="1"/>
  <c r="BC1182"/>
  <c r="BC1183"/>
  <c r="V1241"/>
  <c r="W1241" s="1"/>
  <c r="AC1525"/>
  <c r="Y1534"/>
  <c r="Y1537"/>
  <c r="R1530"/>
  <c r="BX1520" s="1"/>
  <c r="R1523"/>
  <c r="BV1520" s="1"/>
  <c r="N1521"/>
  <c r="BU1520" s="1"/>
  <c r="Y1533"/>
  <c r="Y1535"/>
  <c r="Y1538"/>
  <c r="Y1532"/>
  <c r="Y1530"/>
  <c r="Y1536"/>
  <c r="N1520"/>
  <c r="BT1520" s="1"/>
  <c r="BZ1525"/>
  <c r="Q1584"/>
  <c r="Q1574"/>
  <c r="Q1577"/>
  <c r="AK1584"/>
  <c r="BE1588"/>
  <c r="BD1586"/>
  <c r="N1574"/>
  <c r="BT1574" s="1"/>
  <c r="R1577"/>
  <c r="BV1574" s="1"/>
  <c r="BC1588"/>
  <c r="AK1586"/>
  <c r="BC1586"/>
  <c r="Q1575"/>
  <c r="Q1583"/>
  <c r="BC1587"/>
  <c r="R1584"/>
  <c r="BX1574" s="1"/>
  <c r="N1575"/>
  <c r="BU1574" s="1"/>
  <c r="BE1587"/>
  <c r="BD1588"/>
  <c r="R1773"/>
  <c r="BX1763" s="1"/>
  <c r="Y1776"/>
  <c r="Y1780"/>
  <c r="Y1773"/>
  <c r="Y1777"/>
  <c r="R1766"/>
  <c r="BV1763" s="1"/>
  <c r="N1764"/>
  <c r="BU1763" s="1"/>
  <c r="N1763"/>
  <c r="BT1763" s="1"/>
  <c r="AC1768"/>
  <c r="Y1778"/>
  <c r="Y1781"/>
  <c r="Y1779"/>
  <c r="Y1775"/>
  <c r="R1772"/>
  <c r="BW1763" s="1"/>
  <c r="BZ1768"/>
  <c r="V1916"/>
  <c r="W1916" s="1"/>
  <c r="W1915"/>
  <c r="BC617"/>
  <c r="BZ1614"/>
  <c r="AC1589"/>
  <c r="I1646"/>
  <c r="AC1586"/>
  <c r="AC722"/>
  <c r="AF720"/>
  <c r="AH720" s="1"/>
  <c r="AC726"/>
  <c r="BZ347"/>
  <c r="BD1181"/>
  <c r="V2018"/>
  <c r="V2019" s="1"/>
  <c r="V2020" s="1"/>
  <c r="V2021" s="1"/>
  <c r="V2022" s="1"/>
  <c r="V2023" s="1"/>
  <c r="R1827"/>
  <c r="BX1817" s="1"/>
  <c r="BE669"/>
  <c r="BD1587"/>
  <c r="H2100"/>
  <c r="H78" i="62" s="1"/>
  <c r="R1583" i="50"/>
  <c r="BW1574" s="1"/>
  <c r="BE1586"/>
  <c r="BE885"/>
  <c r="R1529"/>
  <c r="BW1520" s="1"/>
  <c r="BC668"/>
  <c r="V128"/>
  <c r="V533"/>
  <c r="V534" s="1"/>
  <c r="V535" s="1"/>
  <c r="V536" s="1"/>
  <c r="V537" s="1"/>
  <c r="V538" s="1"/>
  <c r="V1748"/>
  <c r="V1749" s="1"/>
  <c r="V1750" s="1"/>
  <c r="V1751" s="1"/>
  <c r="V1752" s="1"/>
  <c r="V1753" s="1"/>
  <c r="AV695"/>
  <c r="AW695"/>
  <c r="AV2072"/>
  <c r="K2072"/>
  <c r="M2072" s="1"/>
  <c r="AW942"/>
  <c r="K942"/>
  <c r="M942" s="1"/>
  <c r="AV1455"/>
  <c r="K1455"/>
  <c r="M1455" s="1"/>
  <c r="AW1455"/>
  <c r="AS1455"/>
  <c r="AT1455" s="1"/>
  <c r="K1964"/>
  <c r="M1964" s="1"/>
  <c r="AV1964"/>
  <c r="AS1964"/>
  <c r="AT1964" s="1"/>
  <c r="AW1964"/>
  <c r="AS1641"/>
  <c r="AT1641" s="1"/>
  <c r="AV1641"/>
  <c r="K456"/>
  <c r="AV456"/>
  <c r="AX1910"/>
  <c r="AP1910"/>
  <c r="AQ1910" s="1"/>
  <c r="BK1898"/>
  <c r="AS642"/>
  <c r="AT642" s="1"/>
  <c r="AV642"/>
  <c r="AV269"/>
  <c r="AS269"/>
  <c r="AT269" s="1"/>
  <c r="K269"/>
  <c r="AW269"/>
  <c r="AV917"/>
  <c r="AS917"/>
  <c r="AT917" s="1"/>
  <c r="K917"/>
  <c r="AW917"/>
  <c r="AV1214"/>
  <c r="AS1214"/>
  <c r="AT1214" s="1"/>
  <c r="K1214"/>
  <c r="AW1214"/>
  <c r="AS1456"/>
  <c r="AT1456" s="1"/>
  <c r="AV1456"/>
  <c r="AW1456"/>
  <c r="K1456"/>
  <c r="AV1991"/>
  <c r="K1991"/>
  <c r="M1991" s="1"/>
  <c r="AW1991"/>
  <c r="AW830"/>
  <c r="AV830"/>
  <c r="K830"/>
  <c r="M830" s="1"/>
  <c r="AS830"/>
  <c r="AT830" s="1"/>
  <c r="K318"/>
  <c r="M318" s="1"/>
  <c r="AS318"/>
  <c r="AT318" s="1"/>
  <c r="AV318"/>
  <c r="AV210"/>
  <c r="K210"/>
  <c r="M210" s="1"/>
  <c r="AW210"/>
  <c r="AS210"/>
  <c r="AT210" s="1"/>
  <c r="AS2019"/>
  <c r="AT2019" s="1"/>
  <c r="AV2019"/>
  <c r="AS1996"/>
  <c r="AT1996" s="1"/>
  <c r="K1996"/>
  <c r="AV1914"/>
  <c r="AS1914"/>
  <c r="AT1914" s="1"/>
  <c r="K1914"/>
  <c r="M1914" s="1"/>
  <c r="AW1914"/>
  <c r="AV237"/>
  <c r="K237"/>
  <c r="M237" s="1"/>
  <c r="AW237"/>
  <c r="AS237"/>
  <c r="AT237" s="1"/>
  <c r="K969"/>
  <c r="M969" s="1"/>
  <c r="AV969"/>
  <c r="AW969"/>
  <c r="AS969"/>
  <c r="AT969" s="1"/>
  <c r="AV1155"/>
  <c r="K1155"/>
  <c r="M1155" s="1"/>
  <c r="AS1155"/>
  <c r="AT1155" s="1"/>
  <c r="AW1155"/>
  <c r="K943"/>
  <c r="AW943"/>
  <c r="AS943"/>
  <c r="AT943" s="1"/>
  <c r="AV943"/>
  <c r="K507"/>
  <c r="M507" s="1"/>
  <c r="AS507"/>
  <c r="AT507" s="1"/>
  <c r="I862"/>
  <c r="AO862"/>
  <c r="AQ862" s="1"/>
  <c r="AR862"/>
  <c r="AJ861"/>
  <c r="AN861"/>
  <c r="AO861"/>
  <c r="AO1019"/>
  <c r="AF1019"/>
  <c r="AR1019"/>
  <c r="BJ1007" s="1"/>
  <c r="AG1019"/>
  <c r="AS539"/>
  <c r="AT539" s="1"/>
  <c r="AV539"/>
  <c r="AR2075"/>
  <c r="I2075"/>
  <c r="AS2075"/>
  <c r="AT2075" s="1"/>
  <c r="BM818"/>
  <c r="AP831"/>
  <c r="AQ831" s="1"/>
  <c r="K506"/>
  <c r="M506" s="1"/>
  <c r="AS452"/>
  <c r="AT452" s="1"/>
  <c r="AV452"/>
  <c r="AX1721"/>
  <c r="AV264"/>
  <c r="AW696"/>
  <c r="AS696"/>
  <c r="AT696" s="1"/>
  <c r="AW1802"/>
  <c r="BK1439"/>
  <c r="BK1601"/>
  <c r="AS1509"/>
  <c r="AT1509" s="1"/>
  <c r="AV1509"/>
  <c r="BI845"/>
  <c r="BC1995"/>
  <c r="AZ1997"/>
  <c r="M1997" s="1"/>
  <c r="I1910"/>
  <c r="AW1482"/>
  <c r="AV1483"/>
  <c r="AW1483"/>
  <c r="BC968"/>
  <c r="K755"/>
  <c r="AZ1403"/>
  <c r="M1403" s="1"/>
  <c r="M646"/>
  <c r="AT455"/>
  <c r="I1997"/>
  <c r="AS1997"/>
  <c r="AT1997" s="1"/>
  <c r="AO1727"/>
  <c r="AQ1727" s="1"/>
  <c r="AR1727"/>
  <c r="AS1021"/>
  <c r="AT1021" s="1"/>
  <c r="I1021"/>
  <c r="AS619"/>
  <c r="AT619" s="1"/>
  <c r="AW619"/>
  <c r="AS674"/>
  <c r="AT674" s="1"/>
  <c r="K674"/>
  <c r="M674" s="1"/>
  <c r="AG911"/>
  <c r="AN911"/>
  <c r="I754"/>
  <c r="AR754"/>
  <c r="AO754"/>
  <c r="AQ754" s="1"/>
  <c r="AW995"/>
  <c r="AZ995"/>
  <c r="M995" s="1"/>
  <c r="K324" i="58"/>
  <c r="M324" s="1"/>
  <c r="AF324"/>
  <c r="AG324" s="1"/>
  <c r="AC423" i="50"/>
  <c r="AC426" s="1"/>
  <c r="AC420"/>
  <c r="AP165" i="58"/>
  <c r="AP164"/>
  <c r="AP166" s="1"/>
  <c r="AF134"/>
  <c r="AG134" s="1"/>
  <c r="AE134"/>
  <c r="AX122" s="1"/>
  <c r="AK69"/>
  <c r="M69" s="1"/>
  <c r="AA69"/>
  <c r="I69"/>
  <c r="W200"/>
  <c r="M192"/>
  <c r="AE192"/>
  <c r="Q1935" i="50"/>
  <c r="Q1928"/>
  <c r="Q1925"/>
  <c r="BD1937"/>
  <c r="BE1939"/>
  <c r="Q1934"/>
  <c r="Q1926"/>
  <c r="AK1937"/>
  <c r="AK1935"/>
  <c r="BE1938"/>
  <c r="BE1937"/>
  <c r="BD1939"/>
  <c r="AF1212"/>
  <c r="AR1212"/>
  <c r="BP1196" s="1"/>
  <c r="BC618"/>
  <c r="AR455"/>
  <c r="AJ345"/>
  <c r="AF345"/>
  <c r="BZ1461"/>
  <c r="AW293"/>
  <c r="AR452"/>
  <c r="AF452"/>
  <c r="AG452"/>
  <c r="AR1912"/>
  <c r="BM602"/>
  <c r="AH1125"/>
  <c r="AP1125" s="1"/>
  <c r="AR750"/>
  <c r="AN750"/>
  <c r="AS998"/>
  <c r="AT998" s="1"/>
  <c r="BC969"/>
  <c r="AI2018"/>
  <c r="AR2018"/>
  <c r="BJ2006" s="1"/>
  <c r="AT454"/>
  <c r="I1510"/>
  <c r="AZ539"/>
  <c r="M539" s="1"/>
  <c r="AO560"/>
  <c r="AC724"/>
  <c r="AC2076"/>
  <c r="AC728"/>
  <c r="AC725"/>
  <c r="AC727"/>
  <c r="AC723"/>
  <c r="AR477"/>
  <c r="AR1152"/>
  <c r="M1152"/>
  <c r="AP69" i="58"/>
  <c r="AP68"/>
  <c r="AP70" s="1"/>
  <c r="AE103"/>
  <c r="AY90" s="1"/>
  <c r="AC103"/>
  <c r="AD103" s="1"/>
  <c r="Y1560" i="50"/>
  <c r="Y1565"/>
  <c r="Y1561"/>
  <c r="AC1552"/>
  <c r="Y1562"/>
  <c r="Y1557"/>
  <c r="Y1563"/>
  <c r="Y1564"/>
  <c r="Y1559"/>
  <c r="AT752"/>
  <c r="BD1938"/>
  <c r="AQ84" i="61"/>
  <c r="BC1939" i="50"/>
  <c r="BZ1922"/>
  <c r="BZ1920"/>
  <c r="BZ869"/>
  <c r="BZ867"/>
  <c r="AL317" i="46"/>
  <c r="AL318"/>
  <c r="AL319" s="1"/>
  <c r="AL333" s="1"/>
  <c r="AL334" s="1"/>
  <c r="AL108"/>
  <c r="AL109" s="1"/>
  <c r="AL123" s="1"/>
  <c r="AL124" s="1"/>
  <c r="AL107"/>
  <c r="AL73"/>
  <c r="AL74" s="1"/>
  <c r="AL88" s="1"/>
  <c r="AL89" s="1"/>
  <c r="AL72"/>
  <c r="BZ300" i="50"/>
  <c r="BZ302"/>
  <c r="BZ185"/>
  <c r="BZ182"/>
  <c r="BZ183"/>
  <c r="BZ190"/>
  <c r="BZ186"/>
  <c r="BZ188"/>
  <c r="BZ184"/>
  <c r="BZ187"/>
  <c r="BZ1942"/>
  <c r="BZ1937"/>
  <c r="BZ1941"/>
  <c r="BZ1945"/>
  <c r="BZ1943"/>
  <c r="BZ1940"/>
  <c r="BZ1939"/>
  <c r="BZ1938"/>
  <c r="BZ1886"/>
  <c r="BZ1891"/>
  <c r="BZ1889"/>
  <c r="BZ1884"/>
  <c r="BZ1883"/>
  <c r="BZ1887"/>
  <c r="BZ1888"/>
  <c r="BZ1885"/>
  <c r="AB145" i="38"/>
  <c r="AB120"/>
  <c r="AB121" s="1"/>
  <c r="AB122" s="1"/>
  <c r="AB123" s="1"/>
  <c r="AB124" s="1"/>
  <c r="AB125" s="1"/>
  <c r="AB126" s="1"/>
  <c r="AB127" s="1"/>
  <c r="AB128" s="1"/>
  <c r="AB129" s="1"/>
  <c r="AB130" s="1"/>
  <c r="AB131" s="1"/>
  <c r="AB132" s="1"/>
  <c r="AB133" s="1"/>
  <c r="AB134" s="1"/>
  <c r="AB135" s="1"/>
  <c r="AB136" s="1"/>
  <c r="AB137" s="1"/>
  <c r="AB138" s="1"/>
  <c r="AB139" s="1"/>
  <c r="AB140" s="1"/>
  <c r="AB141" s="1"/>
  <c r="AB142" s="1"/>
  <c r="AB143" s="1"/>
  <c r="AB144" s="1"/>
  <c r="BZ838" i="50"/>
  <c r="BZ836"/>
  <c r="BZ833"/>
  <c r="BZ832"/>
  <c r="BZ831"/>
  <c r="BZ835"/>
  <c r="BZ834"/>
  <c r="BZ830"/>
  <c r="BZ649"/>
  <c r="BZ644"/>
  <c r="BZ642"/>
  <c r="BZ645"/>
  <c r="BZ647"/>
  <c r="BZ646"/>
  <c r="BZ641"/>
  <c r="BZ643"/>
  <c r="BZ1027"/>
  <c r="BZ1022"/>
  <c r="BZ1024"/>
  <c r="BZ1020"/>
  <c r="BZ1021"/>
  <c r="BZ1025"/>
  <c r="BZ1023"/>
  <c r="BZ1019"/>
  <c r="BZ401"/>
  <c r="BZ402"/>
  <c r="BZ399"/>
  <c r="BZ406"/>
  <c r="BZ403"/>
  <c r="BZ404"/>
  <c r="BZ400"/>
  <c r="BZ398"/>
  <c r="X27" i="38"/>
  <c r="X26"/>
  <c r="X30"/>
  <c r="X28"/>
  <c r="Y28"/>
  <c r="Y27"/>
  <c r="Y26"/>
  <c r="Y29"/>
  <c r="X29"/>
  <c r="Y30"/>
  <c r="H215"/>
  <c r="AV263" i="50"/>
  <c r="K263"/>
  <c r="M263" s="1"/>
  <c r="AS263"/>
  <c r="AT263" s="1"/>
  <c r="AV479"/>
  <c r="K479"/>
  <c r="M479" s="1"/>
  <c r="AW479"/>
  <c r="AS479"/>
  <c r="AT479" s="1"/>
  <c r="AV1131"/>
  <c r="K1131"/>
  <c r="AW1131"/>
  <c r="AS1131"/>
  <c r="AT1131" s="1"/>
  <c r="AV911"/>
  <c r="K911"/>
  <c r="AW911"/>
  <c r="AS911"/>
  <c r="AT911" s="1"/>
  <c r="AV939"/>
  <c r="AS939"/>
  <c r="AT939" s="1"/>
  <c r="K939"/>
  <c r="M939" s="1"/>
  <c r="K1343"/>
  <c r="M1343" s="1"/>
  <c r="AV1343"/>
  <c r="AS1343"/>
  <c r="AT1343" s="1"/>
  <c r="AW1343"/>
  <c r="K510"/>
  <c r="M510" s="1"/>
  <c r="AW510"/>
  <c r="AS510"/>
  <c r="AT510" s="1"/>
  <c r="AV510"/>
  <c r="K834"/>
  <c r="M834" s="1"/>
  <c r="AS834"/>
  <c r="AT834" s="1"/>
  <c r="AV834"/>
  <c r="AW834"/>
  <c r="AV188"/>
  <c r="K188"/>
  <c r="AV294"/>
  <c r="K294"/>
  <c r="M294" s="1"/>
  <c r="AS1020"/>
  <c r="AT1020" s="1"/>
  <c r="AV1020"/>
  <c r="K1020"/>
  <c r="M1020" s="1"/>
  <c r="AW1020"/>
  <c r="AW1721"/>
  <c r="AV1721"/>
  <c r="K1721"/>
  <c r="M1721" s="1"/>
  <c r="AS1721"/>
  <c r="AT1721" s="1"/>
  <c r="AW182"/>
  <c r="AV182"/>
  <c r="K182"/>
  <c r="AS182"/>
  <c r="AT182" s="1"/>
  <c r="K1478"/>
  <c r="AS1478"/>
  <c r="AT1478" s="1"/>
  <c r="AV1451"/>
  <c r="AS1451"/>
  <c r="AT1451" s="1"/>
  <c r="AW1995"/>
  <c r="K1995"/>
  <c r="M1995" s="1"/>
  <c r="AV1995"/>
  <c r="AS1995"/>
  <c r="AT1995" s="1"/>
  <c r="AW183"/>
  <c r="AS183"/>
  <c r="AT183" s="1"/>
  <c r="AV183"/>
  <c r="K183"/>
  <c r="M183" s="1"/>
  <c r="AW1722"/>
  <c r="AS1722"/>
  <c r="AT1722" s="1"/>
  <c r="K1722"/>
  <c r="M1722" s="1"/>
  <c r="AV1722"/>
  <c r="AV1154"/>
  <c r="K1154"/>
  <c r="M1154" s="1"/>
  <c r="AW1154"/>
  <c r="AS1154"/>
  <c r="AT1154" s="1"/>
  <c r="AV1023"/>
  <c r="AS1023"/>
  <c r="AT1023" s="1"/>
  <c r="K1023"/>
  <c r="AW1023"/>
  <c r="AW1398"/>
  <c r="K1398"/>
  <c r="M1398" s="1"/>
  <c r="AV1398"/>
  <c r="AS1398"/>
  <c r="AT1398" s="1"/>
  <c r="AS992"/>
  <c r="AT992" s="1"/>
  <c r="AV992"/>
  <c r="AW992"/>
  <c r="K992"/>
  <c r="M992" s="1"/>
  <c r="AS915"/>
  <c r="AT915" s="1"/>
  <c r="AW915"/>
  <c r="AV915"/>
  <c r="K915"/>
  <c r="AV1640"/>
  <c r="AS1640"/>
  <c r="AT1640" s="1"/>
  <c r="K1640"/>
  <c r="M1640" s="1"/>
  <c r="AW1640"/>
  <c r="K888"/>
  <c r="AS888"/>
  <c r="AT888" s="1"/>
  <c r="AV888"/>
  <c r="AW453"/>
  <c r="AV453"/>
  <c r="K240"/>
  <c r="M240" s="1"/>
  <c r="AW240"/>
  <c r="AS240"/>
  <c r="AT240" s="1"/>
  <c r="AV240"/>
  <c r="AW1133"/>
  <c r="AS1133"/>
  <c r="AT1133" s="1"/>
  <c r="AV1133"/>
  <c r="K1133"/>
  <c r="K187"/>
  <c r="AS187"/>
  <c r="AT187" s="1"/>
  <c r="AV187"/>
  <c r="AW187"/>
  <c r="AW614"/>
  <c r="K614"/>
  <c r="M614" s="1"/>
  <c r="AV614"/>
  <c r="AS614"/>
  <c r="AT614" s="1"/>
  <c r="AW1158"/>
  <c r="K1158"/>
  <c r="M1158" s="1"/>
  <c r="AV1158"/>
  <c r="AS1158"/>
  <c r="AT1158" s="1"/>
  <c r="AW1266"/>
  <c r="K1266"/>
  <c r="M1266" s="1"/>
  <c r="BC510"/>
  <c r="BC509"/>
  <c r="BR683"/>
  <c r="AS1942"/>
  <c r="AT1942" s="1"/>
  <c r="K1942"/>
  <c r="M1942" s="1"/>
  <c r="AS618"/>
  <c r="AT618" s="1"/>
  <c r="AW618"/>
  <c r="AR1993"/>
  <c r="AS1993"/>
  <c r="AT1993" s="1"/>
  <c r="AR1915"/>
  <c r="AO1915"/>
  <c r="AQ1915" s="1"/>
  <c r="I1915"/>
  <c r="AO1025"/>
  <c r="AQ1025" s="1"/>
  <c r="AR1025"/>
  <c r="I1025"/>
  <c r="AS1160"/>
  <c r="AT1160" s="1"/>
  <c r="K1160"/>
  <c r="M1160" s="1"/>
  <c r="AV1160"/>
  <c r="AW1160"/>
  <c r="K100" i="58"/>
  <c r="M100" s="1"/>
  <c r="AF100"/>
  <c r="AG100" s="1"/>
  <c r="AL213" i="46"/>
  <c r="AL214" s="1"/>
  <c r="AL228" s="1"/>
  <c r="AL229" s="1"/>
  <c r="AL212"/>
  <c r="AR968" i="50"/>
  <c r="AS968"/>
  <c r="AT968" s="1"/>
  <c r="I968"/>
  <c r="BZ1436"/>
  <c r="BZ1434"/>
  <c r="AR701"/>
  <c r="AO701"/>
  <c r="AQ701" s="1"/>
  <c r="AS701" s="1"/>
  <c r="AT701" s="1"/>
  <c r="I701"/>
  <c r="I781"/>
  <c r="AR781"/>
  <c r="AO781"/>
  <c r="AQ781" s="1"/>
  <c r="AN1397"/>
  <c r="AG1397"/>
  <c r="AF1397"/>
  <c r="AI1397"/>
  <c r="AO1397"/>
  <c r="AR1397"/>
  <c r="BJ1385" s="1"/>
  <c r="K327" i="58"/>
  <c r="M327" s="1"/>
  <c r="AF327"/>
  <c r="AG327" s="1"/>
  <c r="BM1331" i="50"/>
  <c r="AP1344"/>
  <c r="AQ1344" s="1"/>
  <c r="I1344"/>
  <c r="I1210"/>
  <c r="AS1210"/>
  <c r="AT1210" s="1"/>
  <c r="AR1210"/>
  <c r="BC671"/>
  <c r="BL656"/>
  <c r="AO1587"/>
  <c r="AN1587"/>
  <c r="AR1587"/>
  <c r="AF1587"/>
  <c r="AG1587"/>
  <c r="AJ1587"/>
  <c r="AO458"/>
  <c r="AQ458" s="1"/>
  <c r="I458"/>
  <c r="AR458"/>
  <c r="AS2020"/>
  <c r="AT2020" s="1"/>
  <c r="AR2020"/>
  <c r="I2020"/>
  <c r="AA102" i="61"/>
  <c r="W102"/>
  <c r="T102"/>
  <c r="AC102"/>
  <c r="AE102"/>
  <c r="AF102"/>
  <c r="E102"/>
  <c r="Z102"/>
  <c r="Y102"/>
  <c r="AU102"/>
  <c r="AD102"/>
  <c r="AV104"/>
  <c r="T104"/>
  <c r="AW104"/>
  <c r="AC104"/>
  <c r="AF104"/>
  <c r="AB104"/>
  <c r="V104"/>
  <c r="AY104"/>
  <c r="W104"/>
  <c r="Z104"/>
  <c r="Z101"/>
  <c r="AV101"/>
  <c r="AF101"/>
  <c r="D101"/>
  <c r="AC101"/>
  <c r="AB101"/>
  <c r="S101"/>
  <c r="E101"/>
  <c r="AX101"/>
  <c r="V101"/>
  <c r="K1263" i="50"/>
  <c r="M1263" s="1"/>
  <c r="AW1263"/>
  <c r="AS1268"/>
  <c r="AT1268" s="1"/>
  <c r="K1268"/>
  <c r="AV1268"/>
  <c r="AS1052"/>
  <c r="AT1052" s="1"/>
  <c r="K1052"/>
  <c r="AW1052"/>
  <c r="K1808"/>
  <c r="M1808" s="1"/>
  <c r="AV1808"/>
  <c r="AV615"/>
  <c r="K615"/>
  <c r="M615" s="1"/>
  <c r="AW615"/>
  <c r="AS615"/>
  <c r="AT615" s="1"/>
  <c r="AS538"/>
  <c r="AT538" s="1"/>
  <c r="AV538"/>
  <c r="K1510"/>
  <c r="AW1510"/>
  <c r="AS1348"/>
  <c r="AT1348" s="1"/>
  <c r="AW1348"/>
  <c r="K1348"/>
  <c r="M1348" s="1"/>
  <c r="AT860"/>
  <c r="AR860"/>
  <c r="AL353" i="46"/>
  <c r="AL354" s="1"/>
  <c r="AL368" s="1"/>
  <c r="AL369" s="1"/>
  <c r="AL352"/>
  <c r="K260" i="58"/>
  <c r="M260" s="1"/>
  <c r="AF260"/>
  <c r="AG260" s="1"/>
  <c r="BZ1407" i="50"/>
  <c r="BZ1409"/>
  <c r="K359" i="58"/>
  <c r="M359" s="1"/>
  <c r="AF359"/>
  <c r="AG359" s="1"/>
  <c r="K231"/>
  <c r="M231" s="1"/>
  <c r="AF231"/>
  <c r="AG231" s="1"/>
  <c r="AO350" i="50"/>
  <c r="AQ350" s="1"/>
  <c r="I350"/>
  <c r="AR350"/>
  <c r="B21" i="57"/>
  <c r="G185" i="38"/>
  <c r="Q356" i="52"/>
  <c r="AS940" i="50"/>
  <c r="AT940" s="1"/>
  <c r="AR940"/>
  <c r="I940"/>
  <c r="AR1453"/>
  <c r="AS1453"/>
  <c r="AT1453" s="1"/>
  <c r="I1453"/>
  <c r="AF1614"/>
  <c r="AN1614"/>
  <c r="AO1614"/>
  <c r="AJ1614"/>
  <c r="AR1614"/>
  <c r="AG1614"/>
  <c r="B22" i="57"/>
  <c r="G186" i="38"/>
  <c r="Q357" i="52"/>
  <c r="K263" i="58"/>
  <c r="M263" s="1"/>
  <c r="AF263"/>
  <c r="AG263" s="1"/>
  <c r="AR1505" i="50"/>
  <c r="BJ1493" s="1"/>
  <c r="AN1505"/>
  <c r="AO1505"/>
  <c r="AI1505"/>
  <c r="AG1505"/>
  <c r="AF1505"/>
  <c r="AR1049"/>
  <c r="AS1049"/>
  <c r="AT1049" s="1"/>
  <c r="I1049"/>
  <c r="C599" i="52"/>
  <c r="AS1991" i="50"/>
  <c r="AT1991" s="1"/>
  <c r="AW1910"/>
  <c r="AX348"/>
  <c r="C466" i="52"/>
  <c r="O418"/>
  <c r="Q418" s="1"/>
  <c r="BZ749" i="50"/>
  <c r="AY749"/>
  <c r="AI1098"/>
  <c r="AC1101"/>
  <c r="AC1106"/>
  <c r="AG1098"/>
  <c r="AC1104"/>
  <c r="AS1098"/>
  <c r="AT1098" s="1"/>
  <c r="AF1098"/>
  <c r="AC1102"/>
  <c r="AC1100"/>
  <c r="AC1103"/>
  <c r="AC1105"/>
  <c r="AE136" i="58"/>
  <c r="AZ122" s="1"/>
  <c r="AC136"/>
  <c r="AD136" s="1"/>
  <c r="F286" i="52"/>
  <c r="Q381"/>
  <c r="B46" i="57"/>
  <c r="G210" i="38"/>
  <c r="H210" s="1"/>
  <c r="AR1916" i="50"/>
  <c r="AJ1911"/>
  <c r="AF1911"/>
  <c r="AR1911"/>
  <c r="I1916"/>
  <c r="I863"/>
  <c r="AS863"/>
  <c r="AT863" s="1"/>
  <c r="AR454"/>
  <c r="AR752"/>
  <c r="AG750"/>
  <c r="AO750"/>
  <c r="AG966"/>
  <c r="AF966"/>
  <c r="AS751"/>
  <c r="AT751" s="1"/>
  <c r="AI1019"/>
  <c r="AO1402"/>
  <c r="AQ1402" s="1"/>
  <c r="AS1403"/>
  <c r="AT1403" s="1"/>
  <c r="AS971"/>
  <c r="AT971" s="1"/>
  <c r="AN2018"/>
  <c r="AO2022"/>
  <c r="AR1507"/>
  <c r="AS1510"/>
  <c r="AT1510" s="1"/>
  <c r="B19" i="57"/>
  <c r="Q354" i="52"/>
  <c r="G183" i="38"/>
  <c r="O467" i="52"/>
  <c r="Q467" s="1"/>
  <c r="C515"/>
  <c r="AE165" i="58"/>
  <c r="AW154" s="1"/>
  <c r="AF165"/>
  <c r="AG165" s="1"/>
  <c r="G150" i="62"/>
  <c r="H380" i="46"/>
  <c r="H150" i="62" s="1"/>
  <c r="H2115" i="50"/>
  <c r="H93" i="62" s="1"/>
  <c r="G93"/>
  <c r="H2144" i="50"/>
  <c r="H122" i="62" s="1"/>
  <c r="G122"/>
  <c r="G75"/>
  <c r="H2097" i="50"/>
  <c r="H379" i="46"/>
  <c r="G149" i="62"/>
  <c r="H385" i="46"/>
  <c r="H155" i="62" s="1"/>
  <c r="G155"/>
  <c r="AF323" i="58"/>
  <c r="AG323" s="1"/>
  <c r="AK259"/>
  <c r="M259" s="1"/>
  <c r="I259"/>
  <c r="I131"/>
  <c r="AK131"/>
  <c r="M131" s="1"/>
  <c r="AL30" i="46"/>
  <c r="G121" i="62"/>
  <c r="G86"/>
  <c r="V155" i="50"/>
  <c r="V156" s="1"/>
  <c r="V157" s="1"/>
  <c r="V158" s="1"/>
  <c r="V159" s="1"/>
  <c r="V160" s="1"/>
  <c r="V209"/>
  <c r="V210" s="1"/>
  <c r="V211" s="1"/>
  <c r="V212" s="1"/>
  <c r="V213" s="1"/>
  <c r="V214" s="1"/>
  <c r="V236"/>
  <c r="V237" s="1"/>
  <c r="V238" s="1"/>
  <c r="V239" s="1"/>
  <c r="V240" s="1"/>
  <c r="V241" s="1"/>
  <c r="V263"/>
  <c r="V264" s="1"/>
  <c r="V265" s="1"/>
  <c r="V266" s="1"/>
  <c r="V267" s="1"/>
  <c r="V268" s="1"/>
  <c r="V371"/>
  <c r="V372" s="1"/>
  <c r="V373" s="1"/>
  <c r="V374" s="1"/>
  <c r="V375" s="1"/>
  <c r="V376" s="1"/>
  <c r="V398"/>
  <c r="V399" s="1"/>
  <c r="V400" s="1"/>
  <c r="V401" s="1"/>
  <c r="V402" s="1"/>
  <c r="V403" s="1"/>
  <c r="V425"/>
  <c r="V426" s="1"/>
  <c r="V427" s="1"/>
  <c r="V428" s="1"/>
  <c r="V429" s="1"/>
  <c r="V430" s="1"/>
  <c r="V479"/>
  <c r="V480" s="1"/>
  <c r="V481" s="1"/>
  <c r="V482" s="1"/>
  <c r="V483" s="1"/>
  <c r="V484" s="1"/>
  <c r="V614"/>
  <c r="V615" s="1"/>
  <c r="V616" s="1"/>
  <c r="V617" s="1"/>
  <c r="V618" s="1"/>
  <c r="V619" s="1"/>
  <c r="V668"/>
  <c r="V669" s="1"/>
  <c r="V670" s="1"/>
  <c r="V671" s="1"/>
  <c r="V672" s="1"/>
  <c r="V673" s="1"/>
  <c r="V695"/>
  <c r="V696" s="1"/>
  <c r="V697" s="1"/>
  <c r="V698" s="1"/>
  <c r="V699" s="1"/>
  <c r="V700" s="1"/>
  <c r="V857"/>
  <c r="V858" s="1"/>
  <c r="V859" s="1"/>
  <c r="V860" s="1"/>
  <c r="V861" s="1"/>
  <c r="V862" s="1"/>
  <c r="V884"/>
  <c r="V885" s="1"/>
  <c r="V886" s="1"/>
  <c r="V887" s="1"/>
  <c r="V888" s="1"/>
  <c r="V889" s="1"/>
  <c r="V911"/>
  <c r="V912" s="1"/>
  <c r="V913" s="1"/>
  <c r="V914" s="1"/>
  <c r="V915" s="1"/>
  <c r="V916" s="1"/>
  <c r="V992"/>
  <c r="V993" s="1"/>
  <c r="V994" s="1"/>
  <c r="V995" s="1"/>
  <c r="V996" s="1"/>
  <c r="V997" s="1"/>
  <c r="V1046"/>
  <c r="V1047" s="1"/>
  <c r="V1048" s="1"/>
  <c r="V1049" s="1"/>
  <c r="V1050" s="1"/>
  <c r="V1051" s="1"/>
  <c r="V1073"/>
  <c r="V1074" s="1"/>
  <c r="V1075" s="1"/>
  <c r="V1076" s="1"/>
  <c r="V1077" s="1"/>
  <c r="V1078" s="1"/>
  <c r="V1154"/>
  <c r="V1155" s="1"/>
  <c r="V1156" s="1"/>
  <c r="V1157" s="1"/>
  <c r="V1158" s="1"/>
  <c r="V1159" s="1"/>
  <c r="V1181"/>
  <c r="V1182" s="1"/>
  <c r="V1183" s="1"/>
  <c r="V1184" s="1"/>
  <c r="V1185" s="1"/>
  <c r="V1186" s="1"/>
  <c r="V1289"/>
  <c r="V1290" s="1"/>
  <c r="V1291" s="1"/>
  <c r="V1292" s="1"/>
  <c r="V1293" s="1"/>
  <c r="V1294" s="1"/>
  <c r="V1316"/>
  <c r="V1317" s="1"/>
  <c r="V1318" s="1"/>
  <c r="V1319" s="1"/>
  <c r="V1320" s="1"/>
  <c r="V1321" s="1"/>
  <c r="V1370"/>
  <c r="V1371" s="1"/>
  <c r="V1372" s="1"/>
  <c r="V1373" s="1"/>
  <c r="V1374" s="1"/>
  <c r="V1375" s="1"/>
  <c r="V1478"/>
  <c r="V1479" s="1"/>
  <c r="V1480" s="1"/>
  <c r="V1481" s="1"/>
  <c r="V1482" s="1"/>
  <c r="V1483" s="1"/>
  <c r="V1505"/>
  <c r="V1506" s="1"/>
  <c r="V1507" s="1"/>
  <c r="V1508" s="1"/>
  <c r="V1509" s="1"/>
  <c r="V1510" s="1"/>
  <c r="V1532"/>
  <c r="V1533" s="1"/>
  <c r="V1534" s="1"/>
  <c r="V1535" s="1"/>
  <c r="V1536" s="1"/>
  <c r="V1537" s="1"/>
  <c r="V1721"/>
  <c r="V1722" s="1"/>
  <c r="V1723" s="1"/>
  <c r="V1724" s="1"/>
  <c r="V1725" s="1"/>
  <c r="V1726" s="1"/>
  <c r="V1802"/>
  <c r="V1803" s="1"/>
  <c r="V1804" s="1"/>
  <c r="V1805" s="1"/>
  <c r="V1806" s="1"/>
  <c r="V1807" s="1"/>
  <c r="V1856"/>
  <c r="V1857" s="1"/>
  <c r="V1858" s="1"/>
  <c r="V1859" s="1"/>
  <c r="V1860" s="1"/>
  <c r="V1861" s="1"/>
  <c r="V1883"/>
  <c r="V1884" s="1"/>
  <c r="V1885" s="1"/>
  <c r="V1886" s="1"/>
  <c r="V1887" s="1"/>
  <c r="V1888" s="1"/>
  <c r="V290"/>
  <c r="V291" s="1"/>
  <c r="V292" s="1"/>
  <c r="V293" s="1"/>
  <c r="V294" s="1"/>
  <c r="V295" s="1"/>
  <c r="V506"/>
  <c r="V507" s="1"/>
  <c r="V508" s="1"/>
  <c r="V509" s="1"/>
  <c r="V510" s="1"/>
  <c r="V511" s="1"/>
  <c r="V560"/>
  <c r="V561" s="1"/>
  <c r="V562" s="1"/>
  <c r="V563" s="1"/>
  <c r="V564" s="1"/>
  <c r="V565" s="1"/>
  <c r="V587"/>
  <c r="V588" s="1"/>
  <c r="V589" s="1"/>
  <c r="V590" s="1"/>
  <c r="V591" s="1"/>
  <c r="V592" s="1"/>
  <c r="V641"/>
  <c r="V642" s="1"/>
  <c r="V643" s="1"/>
  <c r="V644" s="1"/>
  <c r="V645" s="1"/>
  <c r="V646" s="1"/>
  <c r="V722"/>
  <c r="V723" s="1"/>
  <c r="V724" s="1"/>
  <c r="V725" s="1"/>
  <c r="V726" s="1"/>
  <c r="V727" s="1"/>
  <c r="V749"/>
  <c r="V750" s="1"/>
  <c r="V751" s="1"/>
  <c r="V752" s="1"/>
  <c r="V753" s="1"/>
  <c r="V754" s="1"/>
  <c r="V776"/>
  <c r="V777" s="1"/>
  <c r="V778" s="1"/>
  <c r="V779" s="1"/>
  <c r="V780" s="1"/>
  <c r="V781" s="1"/>
  <c r="V830"/>
  <c r="V831" s="1"/>
  <c r="V832" s="1"/>
  <c r="V833" s="1"/>
  <c r="V834" s="1"/>
  <c r="V835" s="1"/>
  <c r="V938"/>
  <c r="V939" s="1"/>
  <c r="V940" s="1"/>
  <c r="V941" s="1"/>
  <c r="V942" s="1"/>
  <c r="V943" s="1"/>
  <c r="V965"/>
  <c r="V966" s="1"/>
  <c r="V967" s="1"/>
  <c r="V968" s="1"/>
  <c r="V969" s="1"/>
  <c r="V970" s="1"/>
  <c r="V1019"/>
  <c r="V1020" s="1"/>
  <c r="V1021" s="1"/>
  <c r="V1022" s="1"/>
  <c r="V1023" s="1"/>
  <c r="V1024" s="1"/>
  <c r="V1100"/>
  <c r="V1101" s="1"/>
  <c r="V1102" s="1"/>
  <c r="V1103" s="1"/>
  <c r="V1104" s="1"/>
  <c r="V1105" s="1"/>
  <c r="V1208"/>
  <c r="V1209" s="1"/>
  <c r="V1210" s="1"/>
  <c r="V1211" s="1"/>
  <c r="V1212" s="1"/>
  <c r="V1213" s="1"/>
  <c r="V1262"/>
  <c r="V1263" s="1"/>
  <c r="V1264" s="1"/>
  <c r="V1265" s="1"/>
  <c r="V1266" s="1"/>
  <c r="V1267" s="1"/>
  <c r="V1343"/>
  <c r="V1344" s="1"/>
  <c r="V1345" s="1"/>
  <c r="V1346" s="1"/>
  <c r="V1347" s="1"/>
  <c r="V1348" s="1"/>
  <c r="V1397"/>
  <c r="V1398" s="1"/>
  <c r="V1399" s="1"/>
  <c r="V1400" s="1"/>
  <c r="V1401" s="1"/>
  <c r="V1402" s="1"/>
  <c r="V1424"/>
  <c r="V1425" s="1"/>
  <c r="V1426" s="1"/>
  <c r="V1427" s="1"/>
  <c r="V1428" s="1"/>
  <c r="V1429" s="1"/>
  <c r="V1451"/>
  <c r="V1452" s="1"/>
  <c r="V1453" s="1"/>
  <c r="V1454" s="1"/>
  <c r="V1455" s="1"/>
  <c r="V1456" s="1"/>
  <c r="V1559"/>
  <c r="V1560" s="1"/>
  <c r="V1561" s="1"/>
  <c r="V1562" s="1"/>
  <c r="V1563" s="1"/>
  <c r="V1564" s="1"/>
  <c r="V1586"/>
  <c r="V1587" s="1"/>
  <c r="V1588" s="1"/>
  <c r="V1589" s="1"/>
  <c r="V1590" s="1"/>
  <c r="V1591" s="1"/>
  <c r="V1613"/>
  <c r="V1614" s="1"/>
  <c r="V1615" s="1"/>
  <c r="V1616" s="1"/>
  <c r="V1617" s="1"/>
  <c r="V1618" s="1"/>
  <c r="V1640"/>
  <c r="V1641" s="1"/>
  <c r="V1642" s="1"/>
  <c r="V1643" s="1"/>
  <c r="V1644" s="1"/>
  <c r="V1645" s="1"/>
  <c r="V1667"/>
  <c r="V1668" s="1"/>
  <c r="V1669" s="1"/>
  <c r="V1670" s="1"/>
  <c r="V1671" s="1"/>
  <c r="V1672" s="1"/>
  <c r="V1694"/>
  <c r="V1695" s="1"/>
  <c r="V1696" s="1"/>
  <c r="V1697" s="1"/>
  <c r="V1698" s="1"/>
  <c r="V1699" s="1"/>
  <c r="V1775"/>
  <c r="V1776" s="1"/>
  <c r="V1777" s="1"/>
  <c r="V1778" s="1"/>
  <c r="V1779" s="1"/>
  <c r="V1780" s="1"/>
  <c r="V1829"/>
  <c r="V1830" s="1"/>
  <c r="V1831" s="1"/>
  <c r="V1832" s="1"/>
  <c r="V1833" s="1"/>
  <c r="V1834" s="1"/>
  <c r="V2045"/>
  <c r="V2046" s="1"/>
  <c r="V2047" s="1"/>
  <c r="V2048" s="1"/>
  <c r="V2049" s="1"/>
  <c r="V2050" s="1"/>
  <c r="V1918"/>
  <c r="V1972"/>
  <c r="V1937"/>
  <c r="V1938" s="1"/>
  <c r="V1939" s="1"/>
  <c r="V1940" s="1"/>
  <c r="V1941" s="1"/>
  <c r="V1942" s="1"/>
  <c r="V1991"/>
  <c r="V1992" s="1"/>
  <c r="V1993" s="1"/>
  <c r="V1994" s="1"/>
  <c r="V1995" s="1"/>
  <c r="V1996" s="1"/>
  <c r="E53" i="57"/>
  <c r="E49"/>
  <c r="E58"/>
  <c r="E33"/>
  <c r="E21"/>
  <c r="E51"/>
  <c r="E32"/>
  <c r="E48"/>
  <c r="E38"/>
  <c r="E37"/>
  <c r="E35"/>
  <c r="E24"/>
  <c r="E36"/>
  <c r="E28"/>
  <c r="E56"/>
  <c r="E34"/>
  <c r="E27"/>
  <c r="E54"/>
  <c r="E41"/>
  <c r="E55"/>
  <c r="E20"/>
  <c r="E44"/>
  <c r="E47"/>
  <c r="E30"/>
  <c r="E39"/>
  <c r="E18"/>
  <c r="E50"/>
  <c r="E25"/>
  <c r="E45"/>
  <c r="E52"/>
  <c r="E46"/>
  <c r="E26"/>
  <c r="E23"/>
  <c r="E57"/>
  <c r="E31"/>
  <c r="E42"/>
  <c r="E40"/>
  <c r="E29"/>
  <c r="E19"/>
  <c r="E43"/>
  <c r="E22"/>
  <c r="K1428" i="50" l="1"/>
  <c r="AW1428"/>
  <c r="AS1428"/>
  <c r="AT1428" s="1"/>
  <c r="AV1428"/>
  <c r="Y2043"/>
  <c r="Y2049"/>
  <c r="AC2038"/>
  <c r="Y2046"/>
  <c r="Y2047"/>
  <c r="Y2045"/>
  <c r="R2043"/>
  <c r="BX2033" s="1"/>
  <c r="R2042"/>
  <c r="BW2033" s="1"/>
  <c r="N2034"/>
  <c r="BU2033" s="1"/>
  <c r="Y2051"/>
  <c r="Y2050"/>
  <c r="Y2048"/>
  <c r="BZ2038"/>
  <c r="N2033"/>
  <c r="BT2033" s="1"/>
  <c r="R2036"/>
  <c r="BV2033" s="1"/>
  <c r="Y1376"/>
  <c r="R1368"/>
  <c r="BX1358" s="1"/>
  <c r="Y1372"/>
  <c r="Y1374"/>
  <c r="Y1368"/>
  <c r="Y1371"/>
  <c r="Y1373"/>
  <c r="R1367"/>
  <c r="BW1358" s="1"/>
  <c r="AC1363"/>
  <c r="N1359"/>
  <c r="BU1358" s="1"/>
  <c r="N1358"/>
  <c r="BT1358" s="1"/>
  <c r="R1361"/>
  <c r="BV1358" s="1"/>
  <c r="Y1375"/>
  <c r="Y1370"/>
  <c r="BZ1363"/>
  <c r="Y1295"/>
  <c r="AC1282"/>
  <c r="Y1292"/>
  <c r="Y1294"/>
  <c r="Y1287"/>
  <c r="R1286"/>
  <c r="BW1277" s="1"/>
  <c r="Y1289"/>
  <c r="Y1293"/>
  <c r="R1287"/>
  <c r="BX1277" s="1"/>
  <c r="N1277"/>
  <c r="BT1277" s="1"/>
  <c r="Y1291"/>
  <c r="Y1290"/>
  <c r="BZ1282"/>
  <c r="AC295" i="58"/>
  <c r="AD295" s="1"/>
  <c r="K295" s="1"/>
  <c r="M295" s="1"/>
  <c r="AE295"/>
  <c r="AY282" s="1"/>
  <c r="AF295"/>
  <c r="AG295" s="1"/>
  <c r="G70" i="62"/>
  <c r="H2092" i="50"/>
  <c r="U68" i="60"/>
  <c r="H68" s="1"/>
  <c r="X71"/>
  <c r="K71" s="1"/>
  <c r="X70"/>
  <c r="K70" s="1"/>
  <c r="X67"/>
  <c r="K67" s="1"/>
  <c r="U59"/>
  <c r="H59" s="1"/>
  <c r="X69"/>
  <c r="K69" s="1"/>
  <c r="U51"/>
  <c r="H51" s="1"/>
  <c r="U69"/>
  <c r="H69" s="1"/>
  <c r="U53"/>
  <c r="H53" s="1"/>
  <c r="U60"/>
  <c r="H60" s="1"/>
  <c r="U72"/>
  <c r="H72" s="1"/>
  <c r="R71"/>
  <c r="E71" s="1"/>
  <c r="R60"/>
  <c r="E60" s="1"/>
  <c r="U65"/>
  <c r="H65" s="1"/>
  <c r="X64"/>
  <c r="K64" s="1"/>
  <c r="R73"/>
  <c r="E73" s="1"/>
  <c r="U54"/>
  <c r="H54" s="1"/>
  <c r="X66"/>
  <c r="K66" s="1"/>
  <c r="U71"/>
  <c r="H71" s="1"/>
  <c r="X51"/>
  <c r="K51" s="1"/>
  <c r="X72"/>
  <c r="K72" s="1"/>
  <c r="R55"/>
  <c r="E55" s="1"/>
  <c r="U57"/>
  <c r="H57" s="1"/>
  <c r="U64"/>
  <c r="H64" s="1"/>
  <c r="X54"/>
  <c r="K54" s="1"/>
  <c r="X60"/>
  <c r="K60" s="1"/>
  <c r="R58"/>
  <c r="E58" s="1"/>
  <c r="R53"/>
  <c r="E53" s="1"/>
  <c r="X68"/>
  <c r="K68" s="1"/>
  <c r="R59"/>
  <c r="E59" s="1"/>
  <c r="R65"/>
  <c r="E65" s="1"/>
  <c r="X59"/>
  <c r="K59" s="1"/>
  <c r="X55"/>
  <c r="K55" s="1"/>
  <c r="R56"/>
  <c r="E56" s="1"/>
  <c r="R57"/>
  <c r="E57" s="1"/>
  <c r="X65"/>
  <c r="K65" s="1"/>
  <c r="X52"/>
  <c r="K52" s="1"/>
  <c r="X58"/>
  <c r="K58" s="1"/>
  <c r="R52"/>
  <c r="E52" s="1"/>
  <c r="R66"/>
  <c r="E66" s="1"/>
  <c r="R68"/>
  <c r="E68" s="1"/>
  <c r="U73"/>
  <c r="H73" s="1"/>
  <c r="U66"/>
  <c r="H66" s="1"/>
  <c r="U67"/>
  <c r="H67" s="1"/>
  <c r="U70"/>
  <c r="H70" s="1"/>
  <c r="R51"/>
  <c r="E51" s="1"/>
  <c r="R64"/>
  <c r="E64" s="1"/>
  <c r="R70"/>
  <c r="E70" s="1"/>
  <c r="U55"/>
  <c r="H55" s="1"/>
  <c r="X56"/>
  <c r="K56" s="1"/>
  <c r="X53"/>
  <c r="K53" s="1"/>
  <c r="X73"/>
  <c r="K73" s="1"/>
  <c r="R54"/>
  <c r="E54" s="1"/>
  <c r="U56"/>
  <c r="H56" s="1"/>
  <c r="X57"/>
  <c r="K57" s="1"/>
  <c r="R69"/>
  <c r="E69" s="1"/>
  <c r="U52"/>
  <c r="H52" s="1"/>
  <c r="R72"/>
  <c r="E72" s="1"/>
  <c r="U58"/>
  <c r="H58" s="1"/>
  <c r="R67"/>
  <c r="E67" s="1"/>
  <c r="W360" i="58"/>
  <c r="M352"/>
  <c r="AE352"/>
  <c r="R354"/>
  <c r="R355" s="1"/>
  <c r="R357"/>
  <c r="R358" s="1"/>
  <c r="I228"/>
  <c r="AK228"/>
  <c r="AA228"/>
  <c r="BJ228"/>
  <c r="AA226"/>
  <c r="I226"/>
  <c r="AK226"/>
  <c r="M226" s="1"/>
  <c r="BJ226"/>
  <c r="AA196"/>
  <c r="AK196"/>
  <c r="BJ196"/>
  <c r="I196"/>
  <c r="AO195"/>
  <c r="L202"/>
  <c r="BA186" s="1"/>
  <c r="L203"/>
  <c r="BB186" s="1"/>
  <c r="L209"/>
  <c r="BF186" s="1"/>
  <c r="L208"/>
  <c r="AP195"/>
  <c r="AG84" i="61"/>
  <c r="F84"/>
  <c r="AO84"/>
  <c r="AU84"/>
  <c r="G84"/>
  <c r="AL84"/>
  <c r="AM84"/>
  <c r="AS84"/>
  <c r="AN84"/>
  <c r="AI84"/>
  <c r="D84"/>
  <c r="AK84"/>
  <c r="AT84"/>
  <c r="AR84"/>
  <c r="E84"/>
  <c r="AJ84"/>
  <c r="AH84"/>
  <c r="AP84"/>
  <c r="M1179" i="50"/>
  <c r="AR1179"/>
  <c r="BH1169" s="1"/>
  <c r="I264" i="58"/>
  <c r="AK264"/>
  <c r="BJ264"/>
  <c r="AA264"/>
  <c r="AP324"/>
  <c r="AP326" s="1"/>
  <c r="AP325"/>
  <c r="AO325"/>
  <c r="AO324"/>
  <c r="AO326" s="1"/>
  <c r="AY1754" i="50"/>
  <c r="BZ1754"/>
  <c r="AC1743"/>
  <c r="AC1746"/>
  <c r="AE132" i="58"/>
  <c r="AV122" s="1"/>
  <c r="AC132"/>
  <c r="AD132" s="1"/>
  <c r="K132" s="1"/>
  <c r="M132" s="1"/>
  <c r="AC1068" i="50"/>
  <c r="AC1071"/>
  <c r="AR1611"/>
  <c r="BH1601" s="1"/>
  <c r="M1611"/>
  <c r="AY537"/>
  <c r="AC537"/>
  <c r="BZ537"/>
  <c r="C430" i="52"/>
  <c r="O382"/>
  <c r="R66" i="58"/>
  <c r="R67" s="1"/>
  <c r="R69"/>
  <c r="R70" s="1"/>
  <c r="AY1751" i="50"/>
  <c r="AC1751"/>
  <c r="BZ1751"/>
  <c r="AA98" i="61"/>
  <c r="AW98"/>
  <c r="E98"/>
  <c r="T98"/>
  <c r="R98"/>
  <c r="AC98"/>
  <c r="U98"/>
  <c r="AF98"/>
  <c r="Z98"/>
  <c r="AV98"/>
  <c r="X98"/>
  <c r="W98"/>
  <c r="S98"/>
  <c r="AB98"/>
  <c r="D98"/>
  <c r="Y98"/>
  <c r="AY98"/>
  <c r="AE98"/>
  <c r="AD98"/>
  <c r="AX98"/>
  <c r="AU98"/>
  <c r="V98"/>
  <c r="AY1883" i="50"/>
  <c r="AY1888"/>
  <c r="AY1698"/>
  <c r="BZ1698"/>
  <c r="AC1692"/>
  <c r="AC1689"/>
  <c r="AC366"/>
  <c r="AC369"/>
  <c r="AR369"/>
  <c r="M369"/>
  <c r="AY1051"/>
  <c r="AC1051"/>
  <c r="BZ1051"/>
  <c r="AR1044"/>
  <c r="M1044"/>
  <c r="AY1046"/>
  <c r="AC1046"/>
  <c r="BZ1046"/>
  <c r="AC130" i="58"/>
  <c r="AE130"/>
  <c r="AT122" s="1"/>
  <c r="AF130"/>
  <c r="AG130" s="1"/>
  <c r="AE164"/>
  <c r="AV154" s="1"/>
  <c r="AC164"/>
  <c r="AD164" s="1"/>
  <c r="BF346"/>
  <c r="N346"/>
  <c r="BH346" s="1"/>
  <c r="AF293"/>
  <c r="AG293" s="1"/>
  <c r="AE293"/>
  <c r="AW282" s="1"/>
  <c r="AY1667" i="50"/>
  <c r="BZ1667"/>
  <c r="C682" i="52"/>
  <c r="O682" s="1"/>
  <c r="Q682" s="1"/>
  <c r="O634"/>
  <c r="Q634" s="1"/>
  <c r="T10" i="61"/>
  <c r="K10"/>
  <c r="AX10"/>
  <c r="Q10"/>
  <c r="AY10"/>
  <c r="I10"/>
  <c r="F10"/>
  <c r="P10"/>
  <c r="N10"/>
  <c r="AW10"/>
  <c r="AU10"/>
  <c r="R10"/>
  <c r="E10"/>
  <c r="G10"/>
  <c r="AV10"/>
  <c r="M10"/>
  <c r="L10"/>
  <c r="J10"/>
  <c r="D10"/>
  <c r="O500" i="52"/>
  <c r="Q500" s="1"/>
  <c r="C548"/>
  <c r="M1268" i="50"/>
  <c r="AV1266"/>
  <c r="M1133"/>
  <c r="AS453"/>
  <c r="AT453" s="1"/>
  <c r="AW888"/>
  <c r="AW1451"/>
  <c r="AV1478"/>
  <c r="AS294"/>
  <c r="AT294" s="1"/>
  <c r="AS188"/>
  <c r="AT188" s="1"/>
  <c r="M1131"/>
  <c r="AW263"/>
  <c r="AG560"/>
  <c r="AV755"/>
  <c r="AV507"/>
  <c r="AW1996"/>
  <c r="AW2019"/>
  <c r="M1214"/>
  <c r="K642"/>
  <c r="M642" s="1"/>
  <c r="AW456"/>
  <c r="K1641"/>
  <c r="M1641" s="1"/>
  <c r="AS942"/>
  <c r="AT942" s="1"/>
  <c r="AS2072"/>
  <c r="AT2072" s="1"/>
  <c r="AS695"/>
  <c r="AT695" s="1"/>
  <c r="AW1022"/>
  <c r="M1349"/>
  <c r="BI1493"/>
  <c r="AW668"/>
  <c r="M1509"/>
  <c r="K1617"/>
  <c r="M1617" s="1"/>
  <c r="AS938"/>
  <c r="AT938" s="1"/>
  <c r="M889"/>
  <c r="M1943"/>
  <c r="M647"/>
  <c r="M290"/>
  <c r="BS845"/>
  <c r="AJ344"/>
  <c r="M1213"/>
  <c r="AZ1591"/>
  <c r="AP348"/>
  <c r="AQ348" s="1"/>
  <c r="AP1425"/>
  <c r="AQ1425" s="1"/>
  <c r="BC456"/>
  <c r="AB102" i="61"/>
  <c r="AY102"/>
  <c r="S102"/>
  <c r="AW102"/>
  <c r="AV102"/>
  <c r="R101"/>
  <c r="AV99"/>
  <c r="R1280" i="50"/>
  <c r="BV1277" s="1"/>
  <c r="Y23" i="28"/>
  <c r="Y24" s="1"/>
  <c r="K8"/>
  <c r="BA108" i="61"/>
  <c r="BD1532" i="50"/>
  <c r="BC1533"/>
  <c r="BC1532"/>
  <c r="BE1532"/>
  <c r="AK1530"/>
  <c r="Q1529"/>
  <c r="Q1521"/>
  <c r="BD1534"/>
  <c r="BD1533"/>
  <c r="BE1534"/>
  <c r="BE1533"/>
  <c r="AK1532"/>
  <c r="BC1534"/>
  <c r="Q1530"/>
  <c r="Q1523"/>
  <c r="Q1520"/>
  <c r="V99"/>
  <c r="E90"/>
  <c r="AC135" i="58"/>
  <c r="AD135" s="1"/>
  <c r="K135" s="1"/>
  <c r="M135" s="1"/>
  <c r="AE135"/>
  <c r="AY122" s="1"/>
  <c r="AF135"/>
  <c r="AG135" s="1"/>
  <c r="V72" i="50"/>
  <c r="E63"/>
  <c r="D24" i="58"/>
  <c r="D20"/>
  <c r="D22"/>
  <c r="D23"/>
  <c r="D25"/>
  <c r="D19"/>
  <c r="D26"/>
  <c r="D18"/>
  <c r="D21"/>
  <c r="D27"/>
  <c r="G9" i="61"/>
  <c r="P9"/>
  <c r="O9"/>
  <c r="J9"/>
  <c r="F9"/>
  <c r="K9"/>
  <c r="T9"/>
  <c r="L9"/>
  <c r="I9"/>
  <c r="AU9"/>
  <c r="H9"/>
  <c r="Q9"/>
  <c r="D9"/>
  <c r="AY9"/>
  <c r="U9"/>
  <c r="S9"/>
  <c r="AW9"/>
  <c r="M9"/>
  <c r="N9"/>
  <c r="AV9"/>
  <c r="E9"/>
  <c r="AX9"/>
  <c r="R9"/>
  <c r="AK357" i="58"/>
  <c r="M357" s="1"/>
  <c r="BJ357"/>
  <c r="I357"/>
  <c r="AA357"/>
  <c r="AK356"/>
  <c r="I356"/>
  <c r="AA356"/>
  <c r="BJ356"/>
  <c r="I230"/>
  <c r="AK230"/>
  <c r="M230" s="1"/>
  <c r="AA230"/>
  <c r="BJ230"/>
  <c r="M224"/>
  <c r="AE224"/>
  <c r="W232"/>
  <c r="I199"/>
  <c r="AK199"/>
  <c r="AA199"/>
  <c r="BJ199"/>
  <c r="AK195"/>
  <c r="M195" s="1"/>
  <c r="AA195"/>
  <c r="I195"/>
  <c r="BJ195"/>
  <c r="AK197"/>
  <c r="M197" s="1"/>
  <c r="AA197"/>
  <c r="I197"/>
  <c r="BJ197"/>
  <c r="C154"/>
  <c r="C186" s="1"/>
  <c r="C218" s="1"/>
  <c r="C250" s="1"/>
  <c r="C282" s="1"/>
  <c r="C314" s="1"/>
  <c r="C346" s="1"/>
  <c r="BA90" i="61"/>
  <c r="BA86"/>
  <c r="BA85"/>
  <c r="BA88"/>
  <c r="BA91"/>
  <c r="BA87"/>
  <c r="BA89"/>
  <c r="H198" i="38"/>
  <c r="H197"/>
  <c r="H199"/>
  <c r="H212"/>
  <c r="H189"/>
  <c r="H217"/>
  <c r="H194"/>
  <c r="H206"/>
  <c r="H203"/>
  <c r="H214"/>
  <c r="H223"/>
  <c r="H202"/>
  <c r="H200"/>
  <c r="H205"/>
  <c r="H207"/>
  <c r="H208"/>
  <c r="H222"/>
  <c r="H195"/>
  <c r="H216"/>
  <c r="H204"/>
  <c r="H190"/>
  <c r="H220"/>
  <c r="H213"/>
  <c r="H218"/>
  <c r="H196"/>
  <c r="H192"/>
  <c r="H219"/>
  <c r="H221"/>
  <c r="H193"/>
  <c r="H201"/>
  <c r="H209"/>
  <c r="H191"/>
  <c r="I71" i="58"/>
  <c r="AA71"/>
  <c r="BJ71"/>
  <c r="AK71"/>
  <c r="AK67"/>
  <c r="M67" s="1"/>
  <c r="AA67"/>
  <c r="I67"/>
  <c r="BJ67"/>
  <c r="I70"/>
  <c r="AK70"/>
  <c r="M70" s="1"/>
  <c r="AA70"/>
  <c r="BJ70"/>
  <c r="BF314"/>
  <c r="N314"/>
  <c r="BH314" s="1"/>
  <c r="AF325"/>
  <c r="AG325" s="1"/>
  <c r="AE325"/>
  <c r="AW314" s="1"/>
  <c r="AC290"/>
  <c r="AE290"/>
  <c r="AT282" s="1"/>
  <c r="AF290"/>
  <c r="AG290" s="1"/>
  <c r="AY1748" i="50"/>
  <c r="AC1748"/>
  <c r="BZ1748"/>
  <c r="AY1749"/>
  <c r="AC1749"/>
  <c r="BZ1749"/>
  <c r="AY1077"/>
  <c r="BZ1077"/>
  <c r="AY1619"/>
  <c r="BZ1619"/>
  <c r="AC1619"/>
  <c r="AY533"/>
  <c r="AC533"/>
  <c r="BZ533"/>
  <c r="W130" i="38"/>
  <c r="W99"/>
  <c r="W111"/>
  <c r="W122"/>
  <c r="W124"/>
  <c r="W142"/>
  <c r="W105"/>
  <c r="W129"/>
  <c r="W118"/>
  <c r="W83"/>
  <c r="W102"/>
  <c r="W98"/>
  <c r="W114"/>
  <c r="W91"/>
  <c r="W126"/>
  <c r="W117"/>
  <c r="W108"/>
  <c r="W125"/>
  <c r="W104"/>
  <c r="W116"/>
  <c r="W78"/>
  <c r="W81"/>
  <c r="W115"/>
  <c r="W109"/>
  <c r="W139"/>
  <c r="W112"/>
  <c r="W106"/>
  <c r="W107"/>
  <c r="W131"/>
  <c r="W145"/>
  <c r="W119"/>
  <c r="W134"/>
  <c r="W123"/>
  <c r="W136"/>
  <c r="W80"/>
  <c r="W133"/>
  <c r="W127"/>
  <c r="W76"/>
  <c r="W103"/>
  <c r="W84"/>
  <c r="W82"/>
  <c r="W141"/>
  <c r="W137"/>
  <c r="W140"/>
  <c r="W92"/>
  <c r="W75"/>
  <c r="W93"/>
  <c r="W86"/>
  <c r="W74"/>
  <c r="W101"/>
  <c r="W138"/>
  <c r="W90"/>
  <c r="W128"/>
  <c r="W120"/>
  <c r="W77"/>
  <c r="W100"/>
  <c r="W87"/>
  <c r="W144"/>
  <c r="W79"/>
  <c r="W85"/>
  <c r="W88"/>
  <c r="W94"/>
  <c r="W89"/>
  <c r="W96"/>
  <c r="W132"/>
  <c r="W121"/>
  <c r="W110"/>
  <c r="W113"/>
  <c r="W135"/>
  <c r="W95"/>
  <c r="W97"/>
  <c r="W143"/>
  <c r="AC97" i="61"/>
  <c r="D97"/>
  <c r="V97"/>
  <c r="S97"/>
  <c r="U97"/>
  <c r="Y97"/>
  <c r="AD97"/>
  <c r="Z97"/>
  <c r="AX97"/>
  <c r="AW97"/>
  <c r="X97"/>
  <c r="AE97"/>
  <c r="T97"/>
  <c r="AU97"/>
  <c r="AF97"/>
  <c r="R97"/>
  <c r="AB97"/>
  <c r="W97"/>
  <c r="E97"/>
  <c r="AA97"/>
  <c r="AY97"/>
  <c r="AV97"/>
  <c r="AC1881" i="50"/>
  <c r="AC1878"/>
  <c r="AY1887"/>
  <c r="AC1699"/>
  <c r="AY1699"/>
  <c r="BZ1699"/>
  <c r="AY1697"/>
  <c r="AC1697"/>
  <c r="BZ1697"/>
  <c r="AY374"/>
  <c r="AC374"/>
  <c r="BZ374"/>
  <c r="AY373"/>
  <c r="AC373"/>
  <c r="BZ373"/>
  <c r="AC375"/>
  <c r="AY375"/>
  <c r="BZ375"/>
  <c r="AY1047"/>
  <c r="AC1047"/>
  <c r="BZ1047"/>
  <c r="AY1049"/>
  <c r="BZ1049"/>
  <c r="AE262" i="58"/>
  <c r="AX250" s="1"/>
  <c r="AF262"/>
  <c r="AG262" s="1"/>
  <c r="AY1859" i="50"/>
  <c r="BZ1859"/>
  <c r="AC1665"/>
  <c r="AC1662"/>
  <c r="AY1672"/>
  <c r="BZ1672"/>
  <c r="AC1672"/>
  <c r="BE218" i="58"/>
  <c r="N218"/>
  <c r="BH218" s="1"/>
  <c r="C251" i="50"/>
  <c r="BA11" i="61"/>
  <c r="AC68" i="58"/>
  <c r="AD68" s="1"/>
  <c r="K68" s="1"/>
  <c r="M68" s="1"/>
  <c r="AE68"/>
  <c r="AV58" s="1"/>
  <c r="AF68"/>
  <c r="AG68" s="1"/>
  <c r="C646" i="52"/>
  <c r="O646" s="1"/>
  <c r="Q646" s="1"/>
  <c r="O598"/>
  <c r="Q598" s="1"/>
  <c r="N1278" i="50"/>
  <c r="BU1277" s="1"/>
  <c r="BC644"/>
  <c r="U101" i="61"/>
  <c r="AD101"/>
  <c r="AA101"/>
  <c r="AE101"/>
  <c r="AY101"/>
  <c r="W101"/>
  <c r="AU101"/>
  <c r="BA100"/>
  <c r="BA103"/>
  <c r="U104"/>
  <c r="Y104"/>
  <c r="AA104"/>
  <c r="X99"/>
  <c r="AB99"/>
  <c r="AC99"/>
  <c r="V99"/>
  <c r="T130" i="50"/>
  <c r="T126"/>
  <c r="Z126" s="1"/>
  <c r="G126" s="1"/>
  <c r="T128"/>
  <c r="K116"/>
  <c r="T133"/>
  <c r="T132"/>
  <c r="T134"/>
  <c r="T129"/>
  <c r="T117"/>
  <c r="T131"/>
  <c r="AG645"/>
  <c r="AO645"/>
  <c r="AJ645"/>
  <c r="AN645"/>
  <c r="AF645"/>
  <c r="AR645"/>
  <c r="BP629" s="1"/>
  <c r="I644"/>
  <c r="AS644"/>
  <c r="AT644" s="1"/>
  <c r="AR644"/>
  <c r="AJ641"/>
  <c r="I641"/>
  <c r="AS643"/>
  <c r="AT643" s="1"/>
  <c r="AR643"/>
  <c r="I643"/>
  <c r="AV863"/>
  <c r="K863"/>
  <c r="AY1187"/>
  <c r="BZ1187"/>
  <c r="AY1184"/>
  <c r="BZ1184"/>
  <c r="AC1179"/>
  <c r="AC1185" s="1"/>
  <c r="AC1176"/>
  <c r="AY1185"/>
  <c r="BZ1185"/>
  <c r="AY1182"/>
  <c r="AC1182"/>
  <c r="BZ1182"/>
  <c r="AR1208"/>
  <c r="BJ1196" s="1"/>
  <c r="AF1208"/>
  <c r="AY1321"/>
  <c r="BZ1321"/>
  <c r="AY1318"/>
  <c r="BZ1318"/>
  <c r="AY1322"/>
  <c r="BZ1322"/>
  <c r="Q1305"/>
  <c r="Q1307"/>
  <c r="Q1314"/>
  <c r="BE1316"/>
  <c r="BC1316"/>
  <c r="N1304"/>
  <c r="BT1304" s="1"/>
  <c r="BD1317"/>
  <c r="N1305"/>
  <c r="BU1304" s="1"/>
  <c r="BD1316"/>
  <c r="Q1313"/>
  <c r="R1307"/>
  <c r="BV1304" s="1"/>
  <c r="BC1318"/>
  <c r="R1314"/>
  <c r="BX1304" s="1"/>
  <c r="AK1314"/>
  <c r="BD1318"/>
  <c r="AK1316"/>
  <c r="BE1317"/>
  <c r="BE1318"/>
  <c r="Q1304"/>
  <c r="R1313"/>
  <c r="BW1304" s="1"/>
  <c r="BC1317"/>
  <c r="AY1316"/>
  <c r="BZ1316"/>
  <c r="AC1314"/>
  <c r="AC1311"/>
  <c r="AY1317"/>
  <c r="BZ1317"/>
  <c r="BZ1571"/>
  <c r="BZ1569"/>
  <c r="K1726"/>
  <c r="V129"/>
  <c r="AJ99"/>
  <c r="I99"/>
  <c r="AJ72"/>
  <c r="I72"/>
  <c r="BK197"/>
  <c r="AP209"/>
  <c r="AQ209" s="1"/>
  <c r="BN1115"/>
  <c r="AW1129"/>
  <c r="BM1979"/>
  <c r="AP1992"/>
  <c r="AQ1992" s="1"/>
  <c r="I1992"/>
  <c r="BD645"/>
  <c r="BE645"/>
  <c r="BZ150"/>
  <c r="BZ153"/>
  <c r="BZ163" s="1"/>
  <c r="AY160"/>
  <c r="AC150"/>
  <c r="AC153"/>
  <c r="AC159" s="1"/>
  <c r="AY158"/>
  <c r="BZ158"/>
  <c r="AY159"/>
  <c r="M153"/>
  <c r="AR153"/>
  <c r="M484"/>
  <c r="AC155"/>
  <c r="AY155"/>
  <c r="BZ155"/>
  <c r="BZ157"/>
  <c r="AY157"/>
  <c r="AY161"/>
  <c r="BZ161"/>
  <c r="AY156"/>
  <c r="AC156"/>
  <c r="K890"/>
  <c r="M890" s="1"/>
  <c r="AW890"/>
  <c r="AV890"/>
  <c r="AX182"/>
  <c r="M182" s="1"/>
  <c r="BI170"/>
  <c r="BC186"/>
  <c r="AS890"/>
  <c r="AT890" s="1"/>
  <c r="BC1454"/>
  <c r="BL1439"/>
  <c r="BI1007"/>
  <c r="AX1023"/>
  <c r="M1023" s="1"/>
  <c r="AP1017"/>
  <c r="AZ941"/>
  <c r="M941" s="1"/>
  <c r="BO926"/>
  <c r="AW941"/>
  <c r="AS916"/>
  <c r="AT916" s="1"/>
  <c r="K916"/>
  <c r="AV916"/>
  <c r="AX1482"/>
  <c r="M1482" s="1"/>
  <c r="BI1466"/>
  <c r="AX1478"/>
  <c r="M1478" s="1"/>
  <c r="BE1455"/>
  <c r="BD1455"/>
  <c r="BD1805"/>
  <c r="BE1805"/>
  <c r="AP1209"/>
  <c r="AQ1209" s="1"/>
  <c r="BM1196"/>
  <c r="I1209"/>
  <c r="AX911"/>
  <c r="BI899"/>
  <c r="AX915"/>
  <c r="AJ1127"/>
  <c r="I1127"/>
  <c r="BC1994"/>
  <c r="BR1979"/>
  <c r="AP1613"/>
  <c r="AQ1613" s="1"/>
  <c r="AX1613"/>
  <c r="K696"/>
  <c r="M696" s="1"/>
  <c r="AV696"/>
  <c r="BD186"/>
  <c r="BE186"/>
  <c r="M915"/>
  <c r="M911"/>
  <c r="I1212"/>
  <c r="AP1212"/>
  <c r="AQ1212" s="1"/>
  <c r="BQ1196"/>
  <c r="AX1212"/>
  <c r="BO1196"/>
  <c r="AW1211"/>
  <c r="AZ1211"/>
  <c r="M1211" s="1"/>
  <c r="I965"/>
  <c r="AJ965"/>
  <c r="AP1452"/>
  <c r="AQ1452" s="1"/>
  <c r="BM1439"/>
  <c r="I1452"/>
  <c r="AS1457"/>
  <c r="AT1457" s="1"/>
  <c r="K1457"/>
  <c r="AV1457"/>
  <c r="AW1457"/>
  <c r="K971"/>
  <c r="AW971"/>
  <c r="AV971"/>
  <c r="AJ1208"/>
  <c r="I1208"/>
  <c r="BL1196"/>
  <c r="BC1212"/>
  <c r="BC1211"/>
  <c r="AS700"/>
  <c r="AT700" s="1"/>
  <c r="AW700"/>
  <c r="AV700"/>
  <c r="K700"/>
  <c r="BQ305"/>
  <c r="I321"/>
  <c r="AP321"/>
  <c r="AQ321" s="1"/>
  <c r="AX321"/>
  <c r="AZ1939"/>
  <c r="M1939" s="1"/>
  <c r="AW1939"/>
  <c r="BN1925"/>
  <c r="AW1429"/>
  <c r="BR1412"/>
  <c r="AZ1429"/>
  <c r="M1429" s="1"/>
  <c r="AZ1430"/>
  <c r="M1430" s="1"/>
  <c r="AJ74"/>
  <c r="AP1584"/>
  <c r="BI1574"/>
  <c r="AS1618"/>
  <c r="AT1618" s="1"/>
  <c r="AV1618"/>
  <c r="AW1618"/>
  <c r="K1618"/>
  <c r="BR899"/>
  <c r="AW916"/>
  <c r="BC914"/>
  <c r="BC915"/>
  <c r="K996"/>
  <c r="M996" s="1"/>
  <c r="AS996"/>
  <c r="AT996" s="1"/>
  <c r="AW996"/>
  <c r="AV996"/>
  <c r="BI1925"/>
  <c r="AX1941"/>
  <c r="BO683"/>
  <c r="AZ698"/>
  <c r="M698" s="1"/>
  <c r="AW698"/>
  <c r="AW1481"/>
  <c r="AZ1481"/>
  <c r="M1481" s="1"/>
  <c r="BO1466"/>
  <c r="BQ170"/>
  <c r="AP186"/>
  <c r="AQ186" s="1"/>
  <c r="I186"/>
  <c r="AV1916"/>
  <c r="K1916"/>
  <c r="BO251"/>
  <c r="AZ266"/>
  <c r="M266" s="1"/>
  <c r="AW266"/>
  <c r="BE1643"/>
  <c r="BD1643"/>
  <c r="M971"/>
  <c r="AX888"/>
  <c r="AP882"/>
  <c r="BI872"/>
  <c r="BI440"/>
  <c r="AP450"/>
  <c r="AX456"/>
  <c r="M456" s="1"/>
  <c r="AX452"/>
  <c r="M452" s="1"/>
  <c r="AS2077"/>
  <c r="AT2077" s="1"/>
  <c r="K2077"/>
  <c r="AV2077"/>
  <c r="AP2073"/>
  <c r="AQ2073" s="1"/>
  <c r="BM2060"/>
  <c r="I2073"/>
  <c r="AW2074"/>
  <c r="BN2060"/>
  <c r="AZ2074"/>
  <c r="M2074" s="1"/>
  <c r="K912"/>
  <c r="M912" s="1"/>
  <c r="AV912"/>
  <c r="AW912"/>
  <c r="AS912"/>
  <c r="AT912" s="1"/>
  <c r="BS1439"/>
  <c r="AZ1457"/>
  <c r="AZ1456"/>
  <c r="M1456" s="1"/>
  <c r="BS953"/>
  <c r="AZ970"/>
  <c r="M970" s="1"/>
  <c r="AW214"/>
  <c r="AZ215"/>
  <c r="M215" s="1"/>
  <c r="BR197"/>
  <c r="BC213"/>
  <c r="BC212"/>
  <c r="AZ214"/>
  <c r="M214" s="1"/>
  <c r="BS197"/>
  <c r="AW215"/>
  <c r="BC699"/>
  <c r="BC698"/>
  <c r="AV944"/>
  <c r="AW944"/>
  <c r="AS944"/>
  <c r="AT944" s="1"/>
  <c r="K944"/>
  <c r="I317"/>
  <c r="AJ317"/>
  <c r="AS782"/>
  <c r="AT782" s="1"/>
  <c r="AW782"/>
  <c r="AV782"/>
  <c r="K782"/>
  <c r="BE1806"/>
  <c r="BD1806"/>
  <c r="I1941"/>
  <c r="BQ1925"/>
  <c r="AP1941"/>
  <c r="AQ1941" s="1"/>
  <c r="AJ857"/>
  <c r="I857"/>
  <c r="AZ1427"/>
  <c r="M1427" s="1"/>
  <c r="AW1427"/>
  <c r="BO1412"/>
  <c r="BM953"/>
  <c r="AP966"/>
  <c r="AQ966" s="1"/>
  <c r="I966"/>
  <c r="AS1591"/>
  <c r="AT1591" s="1"/>
  <c r="K1591"/>
  <c r="M1591" s="1"/>
  <c r="AW1591"/>
  <c r="AV1591"/>
  <c r="AZ944"/>
  <c r="BR926"/>
  <c r="AZ943"/>
  <c r="M943" s="1"/>
  <c r="BD834"/>
  <c r="BE834"/>
  <c r="I267"/>
  <c r="AX267"/>
  <c r="BQ251"/>
  <c r="AP267"/>
  <c r="AQ267" s="1"/>
  <c r="I1725"/>
  <c r="AP1725"/>
  <c r="AQ1725" s="1"/>
  <c r="BQ1709"/>
  <c r="AX1725"/>
  <c r="BS170"/>
  <c r="AZ188"/>
  <c r="M188" s="1"/>
  <c r="AZ187"/>
  <c r="M187" s="1"/>
  <c r="BD887"/>
  <c r="BE887"/>
  <c r="BM1115"/>
  <c r="AP1128"/>
  <c r="AQ1128" s="1"/>
  <c r="BE1131"/>
  <c r="BD1131"/>
  <c r="BE239"/>
  <c r="BD239"/>
  <c r="M888"/>
  <c r="AS1916"/>
  <c r="AT1916" s="1"/>
  <c r="BP2006"/>
  <c r="AW2022"/>
  <c r="AP236"/>
  <c r="AQ236" s="1"/>
  <c r="BK224"/>
  <c r="AX236"/>
  <c r="BC2021"/>
  <c r="BL2006"/>
  <c r="BC2022"/>
  <c r="AV2024"/>
  <c r="K2024"/>
  <c r="M2024" s="1"/>
  <c r="AS2024"/>
  <c r="AT2024" s="1"/>
  <c r="AW2024"/>
  <c r="AW1511"/>
  <c r="AV1511"/>
  <c r="AS1511"/>
  <c r="AT1511" s="1"/>
  <c r="K1511"/>
  <c r="BD1346"/>
  <c r="BE1346"/>
  <c r="BR2060"/>
  <c r="AZ2078"/>
  <c r="M2078" s="1"/>
  <c r="BC2075"/>
  <c r="AZ2077"/>
  <c r="M2077" s="1"/>
  <c r="AW2077"/>
  <c r="BC2076"/>
  <c r="BO197"/>
  <c r="AZ212"/>
  <c r="M212" s="1"/>
  <c r="AW212"/>
  <c r="BS899"/>
  <c r="AZ916"/>
  <c r="M916" s="1"/>
  <c r="AZ917"/>
  <c r="BD1130"/>
  <c r="BE1130"/>
  <c r="BS305"/>
  <c r="AZ323"/>
  <c r="AZ322"/>
  <c r="M322" s="1"/>
  <c r="I776"/>
  <c r="AJ776"/>
  <c r="AX780"/>
  <c r="I780"/>
  <c r="BQ764"/>
  <c r="AP780"/>
  <c r="AQ780" s="1"/>
  <c r="I1937"/>
  <c r="AJ1937"/>
  <c r="BL305"/>
  <c r="BC320"/>
  <c r="BC321"/>
  <c r="I1428"/>
  <c r="AX1428"/>
  <c r="BQ1412"/>
  <c r="AX699"/>
  <c r="AP699"/>
  <c r="AQ699" s="1"/>
  <c r="BQ683"/>
  <c r="I699"/>
  <c r="BE1265"/>
  <c r="BD1265"/>
  <c r="M917"/>
  <c r="BD348"/>
  <c r="BE348"/>
  <c r="AP753"/>
  <c r="AQ753" s="1"/>
  <c r="I753"/>
  <c r="AX753"/>
  <c r="I884"/>
  <c r="AJ884"/>
  <c r="AS1644"/>
  <c r="AT1644" s="1"/>
  <c r="AW1644"/>
  <c r="K1644"/>
  <c r="M1644" s="1"/>
  <c r="AV1644"/>
  <c r="BL926"/>
  <c r="BC942"/>
  <c r="BC941"/>
  <c r="BN197"/>
  <c r="AW211"/>
  <c r="AZ211"/>
  <c r="M211" s="1"/>
  <c r="AS323"/>
  <c r="AT323" s="1"/>
  <c r="K323"/>
  <c r="M323" s="1"/>
  <c r="AW323"/>
  <c r="AP1938"/>
  <c r="AQ1938" s="1"/>
  <c r="BM1925"/>
  <c r="I1938"/>
  <c r="BL1412"/>
  <c r="BC1427"/>
  <c r="BC1428"/>
  <c r="AJ1424"/>
  <c r="I1424"/>
  <c r="AS1347"/>
  <c r="AT1347" s="1"/>
  <c r="K1347"/>
  <c r="M1347" s="1"/>
  <c r="AV1347"/>
  <c r="AW1347"/>
  <c r="M1428"/>
  <c r="BD1481"/>
  <c r="BE1481"/>
  <c r="I1590"/>
  <c r="AP1590"/>
  <c r="AQ1590" s="1"/>
  <c r="BQ1574"/>
  <c r="AX1590"/>
  <c r="AS349"/>
  <c r="AT349" s="1"/>
  <c r="AV349"/>
  <c r="K349"/>
  <c r="AW349"/>
  <c r="BS1979"/>
  <c r="AW1997"/>
  <c r="I1401"/>
  <c r="AP1401"/>
  <c r="AQ1401" s="1"/>
  <c r="AX1401"/>
  <c r="BQ1385"/>
  <c r="BC1400"/>
  <c r="BL1385"/>
  <c r="BC1401"/>
  <c r="AV480"/>
  <c r="AS480"/>
  <c r="AT480" s="1"/>
  <c r="K480"/>
  <c r="M480" s="1"/>
  <c r="AW480"/>
  <c r="AO565"/>
  <c r="AQ565" s="1"/>
  <c r="AS565" s="1"/>
  <c r="AT565" s="1"/>
  <c r="I565"/>
  <c r="AR565"/>
  <c r="AF560"/>
  <c r="AR560"/>
  <c r="BJ548" s="1"/>
  <c r="AN560"/>
  <c r="I562"/>
  <c r="AS562"/>
  <c r="AT562" s="1"/>
  <c r="AR562"/>
  <c r="AZ1996"/>
  <c r="M1996" s="1"/>
  <c r="AH558"/>
  <c r="BC1482"/>
  <c r="BE996"/>
  <c r="BD996"/>
  <c r="BD455"/>
  <c r="BE455"/>
  <c r="BE185"/>
  <c r="BD185"/>
  <c r="AN561"/>
  <c r="AR561"/>
  <c r="AO561"/>
  <c r="AF561"/>
  <c r="AJ561"/>
  <c r="AG561"/>
  <c r="I558"/>
  <c r="AJ558"/>
  <c r="AO566"/>
  <c r="AQ566" s="1"/>
  <c r="I566"/>
  <c r="AR566"/>
  <c r="BS548" s="1"/>
  <c r="AJ564"/>
  <c r="AF564"/>
  <c r="AR564"/>
  <c r="BP548" s="1"/>
  <c r="AG564"/>
  <c r="AN564"/>
  <c r="AO564"/>
  <c r="AS563"/>
  <c r="AT563" s="1"/>
  <c r="AR563"/>
  <c r="I563"/>
  <c r="I1156"/>
  <c r="AR1156"/>
  <c r="AS1156"/>
  <c r="AT1156" s="1"/>
  <c r="BL521"/>
  <c r="BC536"/>
  <c r="BC537"/>
  <c r="I534"/>
  <c r="AP534"/>
  <c r="AQ534" s="1"/>
  <c r="BM521"/>
  <c r="K268"/>
  <c r="AW268"/>
  <c r="AV268"/>
  <c r="AJ720"/>
  <c r="BI710" s="1"/>
  <c r="I720"/>
  <c r="BE1968"/>
  <c r="BD1968"/>
  <c r="BE1967"/>
  <c r="BD1967"/>
  <c r="BD1022"/>
  <c r="BE1022"/>
  <c r="BE1023"/>
  <c r="BD1023"/>
  <c r="BR251"/>
  <c r="AZ269"/>
  <c r="M269" s="1"/>
  <c r="AZ268"/>
  <c r="BC266"/>
  <c r="BC267"/>
  <c r="BO1115"/>
  <c r="AW1130"/>
  <c r="AZ1130"/>
  <c r="M1130" s="1"/>
  <c r="AS268"/>
  <c r="AT268" s="1"/>
  <c r="V188"/>
  <c r="W188" s="1"/>
  <c r="W187"/>
  <c r="AR777"/>
  <c r="BL764" s="1"/>
  <c r="AO777"/>
  <c r="AF777"/>
  <c r="AJ777"/>
  <c r="AN777"/>
  <c r="AG777"/>
  <c r="BC1724"/>
  <c r="BC1725"/>
  <c r="BR1709"/>
  <c r="AY1235"/>
  <c r="AY1239"/>
  <c r="AR1233"/>
  <c r="M1233"/>
  <c r="BZ1230"/>
  <c r="BZ1233"/>
  <c r="AY1236"/>
  <c r="BZ1236"/>
  <c r="AY1241"/>
  <c r="BZ1241"/>
  <c r="BZ798"/>
  <c r="BZ801"/>
  <c r="BZ806" s="1"/>
  <c r="AY808"/>
  <c r="BZ808"/>
  <c r="AC798"/>
  <c r="AC801"/>
  <c r="AC807" s="1"/>
  <c r="AY806"/>
  <c r="AC806"/>
  <c r="AY807"/>
  <c r="BZ807"/>
  <c r="I404"/>
  <c r="AR404"/>
  <c r="BS386" s="1"/>
  <c r="AO404"/>
  <c r="AQ404" s="1"/>
  <c r="AO398"/>
  <c r="AN398"/>
  <c r="AF398"/>
  <c r="AI398"/>
  <c r="AG398"/>
  <c r="AR398"/>
  <c r="BJ386" s="1"/>
  <c r="AG402"/>
  <c r="AF402"/>
  <c r="AO402"/>
  <c r="AJ402"/>
  <c r="AN402"/>
  <c r="AR402"/>
  <c r="BP386" s="1"/>
  <c r="AJ396"/>
  <c r="I396"/>
  <c r="AG399"/>
  <c r="AR399"/>
  <c r="AF399"/>
  <c r="AJ399"/>
  <c r="AO399"/>
  <c r="AN399"/>
  <c r="V2078"/>
  <c r="W2078" s="1"/>
  <c r="W2077"/>
  <c r="BR1493"/>
  <c r="AZ1511"/>
  <c r="M1511" s="1"/>
  <c r="AZ1510"/>
  <c r="M1510" s="1"/>
  <c r="V323"/>
  <c r="W323" s="1"/>
  <c r="W322"/>
  <c r="AC1233"/>
  <c r="AC1238" s="1"/>
  <c r="AC1230"/>
  <c r="AY1238"/>
  <c r="AY1237"/>
  <c r="BZ1237"/>
  <c r="AY1240"/>
  <c r="BZ1240"/>
  <c r="AR801"/>
  <c r="M801"/>
  <c r="AC803"/>
  <c r="BZ803"/>
  <c r="AY803"/>
  <c r="AY804"/>
  <c r="AC804"/>
  <c r="AY809"/>
  <c r="AC809"/>
  <c r="BZ809"/>
  <c r="AY805"/>
  <c r="AC805"/>
  <c r="BZ805"/>
  <c r="AR401"/>
  <c r="I401"/>
  <c r="AS401"/>
  <c r="AT401" s="1"/>
  <c r="AO403"/>
  <c r="AQ403" s="1"/>
  <c r="AR403"/>
  <c r="I403"/>
  <c r="AR400"/>
  <c r="AS400"/>
  <c r="AT400" s="1"/>
  <c r="I400"/>
  <c r="BS1628"/>
  <c r="AZ1645"/>
  <c r="M1645" s="1"/>
  <c r="AZ1646"/>
  <c r="M1646" s="1"/>
  <c r="AW1726"/>
  <c r="AH396"/>
  <c r="AP396" s="1"/>
  <c r="V539"/>
  <c r="W539" s="1"/>
  <c r="W538"/>
  <c r="BD617"/>
  <c r="BE617"/>
  <c r="AY1779"/>
  <c r="AY1778"/>
  <c r="M1773"/>
  <c r="AR1773"/>
  <c r="AY1776"/>
  <c r="BZ1527"/>
  <c r="BZ1530"/>
  <c r="BZ1540" s="1"/>
  <c r="AY1536"/>
  <c r="BZ1536"/>
  <c r="AY1532"/>
  <c r="BZ1532"/>
  <c r="AY1535"/>
  <c r="BZ1535"/>
  <c r="AY1534"/>
  <c r="BZ1534"/>
  <c r="AC1858"/>
  <c r="AC1857"/>
  <c r="AS1854"/>
  <c r="AT1854" s="1"/>
  <c r="AF1854"/>
  <c r="AG1854"/>
  <c r="AC1862"/>
  <c r="AC1856"/>
  <c r="AC1859"/>
  <c r="AC1860"/>
  <c r="AI1854"/>
  <c r="AC1861"/>
  <c r="I1506"/>
  <c r="AP1506"/>
  <c r="AQ1506" s="1"/>
  <c r="BM1493"/>
  <c r="AC1824"/>
  <c r="AC1827"/>
  <c r="AY1831"/>
  <c r="AC1831"/>
  <c r="BZ1824"/>
  <c r="BZ1827"/>
  <c r="BZ1837" s="1"/>
  <c r="AY1832"/>
  <c r="BZ1832"/>
  <c r="AY1835"/>
  <c r="AC1835"/>
  <c r="AY589"/>
  <c r="AY587"/>
  <c r="BZ582"/>
  <c r="BZ585"/>
  <c r="BZ595" s="1"/>
  <c r="AY593"/>
  <c r="BZ593"/>
  <c r="AY591"/>
  <c r="BZ591"/>
  <c r="BO1925"/>
  <c r="AZ1940"/>
  <c r="M1940" s="1"/>
  <c r="AW1940"/>
  <c r="BS1466"/>
  <c r="AZ1484"/>
  <c r="AZ1483"/>
  <c r="M1483" s="1"/>
  <c r="V1754"/>
  <c r="W1754" s="1"/>
  <c r="W1753"/>
  <c r="V2024"/>
  <c r="W2024" s="1"/>
  <c r="W2023"/>
  <c r="AG726"/>
  <c r="AF726"/>
  <c r="AR726"/>
  <c r="BP710" s="1"/>
  <c r="AJ726"/>
  <c r="AO726"/>
  <c r="AN726"/>
  <c r="AN722"/>
  <c r="AG722"/>
  <c r="AO722"/>
  <c r="AR722"/>
  <c r="BJ710" s="1"/>
  <c r="AI722"/>
  <c r="AF722"/>
  <c r="AR1586"/>
  <c r="BJ1574" s="1"/>
  <c r="AN1586"/>
  <c r="AO1586"/>
  <c r="AF1586"/>
  <c r="AG1586"/>
  <c r="AI1586"/>
  <c r="AR1589"/>
  <c r="AS1589"/>
  <c r="AT1589" s="1"/>
  <c r="I1589"/>
  <c r="BZ1773"/>
  <c r="BZ1779" s="1"/>
  <c r="BZ1770"/>
  <c r="AY1775"/>
  <c r="AY1781"/>
  <c r="AC1770"/>
  <c r="AC1773"/>
  <c r="AY1777"/>
  <c r="AC1777"/>
  <c r="BZ1777"/>
  <c r="AC1780"/>
  <c r="AY1780"/>
  <c r="AR1530"/>
  <c r="M1530"/>
  <c r="AY1538"/>
  <c r="BZ1538"/>
  <c r="AY1533"/>
  <c r="BZ1533"/>
  <c r="AY1537"/>
  <c r="BZ1537"/>
  <c r="AC1527"/>
  <c r="AC1530"/>
  <c r="AC1536" s="1"/>
  <c r="BL1493"/>
  <c r="BC1508"/>
  <c r="BC1509"/>
  <c r="I858"/>
  <c r="AP858"/>
  <c r="AQ858" s="1"/>
  <c r="BM845"/>
  <c r="AY1829"/>
  <c r="BZ1829"/>
  <c r="AC1829"/>
  <c r="AY1830"/>
  <c r="BZ1830"/>
  <c r="AC1830"/>
  <c r="AY1833"/>
  <c r="AC1833"/>
  <c r="BZ1833"/>
  <c r="AY1834"/>
  <c r="BZ1834"/>
  <c r="M1827"/>
  <c r="AR1827"/>
  <c r="AY590"/>
  <c r="BZ590"/>
  <c r="AY588"/>
  <c r="BZ588"/>
  <c r="AY592"/>
  <c r="BZ592"/>
  <c r="M585"/>
  <c r="AR585"/>
  <c r="AC582"/>
  <c r="AC585"/>
  <c r="AC587" s="1"/>
  <c r="BH656"/>
  <c r="BC672"/>
  <c r="BK737"/>
  <c r="AX749"/>
  <c r="AP749"/>
  <c r="AQ749" s="1"/>
  <c r="AP213"/>
  <c r="AQ213" s="1"/>
  <c r="BQ197"/>
  <c r="I213"/>
  <c r="AX213"/>
  <c r="AW1484"/>
  <c r="K1484"/>
  <c r="M1484" s="1"/>
  <c r="AV1484"/>
  <c r="AY1559"/>
  <c r="BZ1559"/>
  <c r="AY1563"/>
  <c r="BZ1563"/>
  <c r="AY1562"/>
  <c r="BZ1562"/>
  <c r="AY1561"/>
  <c r="BZ1561"/>
  <c r="AY1560"/>
  <c r="BZ1560"/>
  <c r="BH1142"/>
  <c r="BC1158"/>
  <c r="BC1157"/>
  <c r="BH467"/>
  <c r="BC482"/>
  <c r="BC483"/>
  <c r="AR727"/>
  <c r="I727"/>
  <c r="AO727"/>
  <c r="AQ727" s="1"/>
  <c r="AO728"/>
  <c r="AQ728" s="1"/>
  <c r="I728"/>
  <c r="AR728"/>
  <c r="BS710" s="1"/>
  <c r="AS724"/>
  <c r="AT724" s="1"/>
  <c r="I724"/>
  <c r="AR724"/>
  <c r="BE969"/>
  <c r="BD969"/>
  <c r="AW452"/>
  <c r="BJ440"/>
  <c r="AW455"/>
  <c r="AZ455"/>
  <c r="M455" s="1"/>
  <c r="BO440"/>
  <c r="BD618"/>
  <c r="BE618"/>
  <c r="AS423"/>
  <c r="AT423" s="1"/>
  <c r="AF423"/>
  <c r="AC429"/>
  <c r="AC427"/>
  <c r="AC425"/>
  <c r="AC430"/>
  <c r="AI423"/>
  <c r="AG423"/>
  <c r="AC431"/>
  <c r="AC428"/>
  <c r="BR737"/>
  <c r="AZ754"/>
  <c r="AZ755"/>
  <c r="M755" s="1"/>
  <c r="AW1727"/>
  <c r="AS1727"/>
  <c r="AT1727" s="1"/>
  <c r="AV1727"/>
  <c r="K1727"/>
  <c r="BD1995"/>
  <c r="BE1995"/>
  <c r="BQ845"/>
  <c r="AX861"/>
  <c r="I861"/>
  <c r="AP861"/>
  <c r="AQ861" s="1"/>
  <c r="AS862"/>
  <c r="AT862" s="1"/>
  <c r="K862"/>
  <c r="AW862"/>
  <c r="AV862"/>
  <c r="K1910"/>
  <c r="M1910" s="1"/>
  <c r="AS1910"/>
  <c r="AT1910" s="1"/>
  <c r="AV1910"/>
  <c r="AW1212"/>
  <c r="AN426"/>
  <c r="AR426"/>
  <c r="AJ426"/>
  <c r="AF426"/>
  <c r="AG426"/>
  <c r="AO426"/>
  <c r="AY1564"/>
  <c r="BZ1564"/>
  <c r="M1557"/>
  <c r="AR1557"/>
  <c r="AC1557"/>
  <c r="AC1563" s="1"/>
  <c r="AC1554"/>
  <c r="AY1565"/>
  <c r="BZ1565"/>
  <c r="K103" i="58"/>
  <c r="M103" s="1"/>
  <c r="AF103"/>
  <c r="AG103" s="1"/>
  <c r="AJ723" i="50"/>
  <c r="AR723"/>
  <c r="AO723"/>
  <c r="AF723"/>
  <c r="AG723"/>
  <c r="AN723"/>
  <c r="AS725"/>
  <c r="AT725" s="1"/>
  <c r="AR725"/>
  <c r="I725"/>
  <c r="AN2076"/>
  <c r="AO2076"/>
  <c r="AF2076"/>
  <c r="AJ2076"/>
  <c r="AR2076"/>
  <c r="BP2060" s="1"/>
  <c r="AG2076"/>
  <c r="I560"/>
  <c r="AJ560"/>
  <c r="I2018"/>
  <c r="AJ2018"/>
  <c r="BC753"/>
  <c r="AW750"/>
  <c r="BL737"/>
  <c r="BC752"/>
  <c r="AW1912"/>
  <c r="BN1898"/>
  <c r="AZ1912"/>
  <c r="M1912" s="1"/>
  <c r="I345"/>
  <c r="BM332"/>
  <c r="AP345"/>
  <c r="AQ345" s="1"/>
  <c r="AA200" i="58"/>
  <c r="AK200"/>
  <c r="I200"/>
  <c r="BJ200"/>
  <c r="AF69"/>
  <c r="AE69"/>
  <c r="AW58" s="1"/>
  <c r="AG69"/>
  <c r="AS754" i="50"/>
  <c r="AT754" s="1"/>
  <c r="AV754"/>
  <c r="AW754"/>
  <c r="K754"/>
  <c r="M754" s="1"/>
  <c r="AZ1726"/>
  <c r="M1726" s="1"/>
  <c r="BS1709"/>
  <c r="AZ1727"/>
  <c r="BD968"/>
  <c r="BE968"/>
  <c r="AW831"/>
  <c r="K831"/>
  <c r="M831" s="1"/>
  <c r="AS831"/>
  <c r="AT831" s="1"/>
  <c r="AV831"/>
  <c r="AZ2075"/>
  <c r="M2075" s="1"/>
  <c r="BO2060"/>
  <c r="AW2075"/>
  <c r="BC861"/>
  <c r="AZ862"/>
  <c r="BC860"/>
  <c r="BR845"/>
  <c r="AZ863"/>
  <c r="M863" s="1"/>
  <c r="BZ1031"/>
  <c r="BZ1029"/>
  <c r="BZ653"/>
  <c r="BZ651"/>
  <c r="BZ842"/>
  <c r="BZ840"/>
  <c r="BZ410"/>
  <c r="BZ408"/>
  <c r="BZ1895"/>
  <c r="BZ1893"/>
  <c r="BZ1949"/>
  <c r="BZ1947"/>
  <c r="BZ192"/>
  <c r="BZ194"/>
  <c r="V1835"/>
  <c r="W1835" s="1"/>
  <c r="W1834"/>
  <c r="V1646"/>
  <c r="W1646" s="1"/>
  <c r="W1645"/>
  <c r="V1457"/>
  <c r="W1457" s="1"/>
  <c r="W1456"/>
  <c r="W1402"/>
  <c r="V1403"/>
  <c r="W1403" s="1"/>
  <c r="V1268"/>
  <c r="W1268" s="1"/>
  <c r="W1267"/>
  <c r="W1105"/>
  <c r="V1106"/>
  <c r="W1106" s="1"/>
  <c r="V971"/>
  <c r="W971" s="1"/>
  <c r="W970"/>
  <c r="V836"/>
  <c r="W836" s="1"/>
  <c r="W835"/>
  <c r="V755"/>
  <c r="W755" s="1"/>
  <c r="W754"/>
  <c r="V647"/>
  <c r="W647" s="1"/>
  <c r="W646"/>
  <c r="V566"/>
  <c r="W566" s="1"/>
  <c r="W565"/>
  <c r="V296"/>
  <c r="W296" s="1"/>
  <c r="W295"/>
  <c r="V1862"/>
  <c r="W1862" s="1"/>
  <c r="W1861"/>
  <c r="V1727"/>
  <c r="W1727" s="1"/>
  <c r="W1726"/>
  <c r="V1511"/>
  <c r="W1511" s="1"/>
  <c r="W1510"/>
  <c r="V1376"/>
  <c r="W1376" s="1"/>
  <c r="W1375"/>
  <c r="V1295"/>
  <c r="W1295" s="1"/>
  <c r="W1294"/>
  <c r="V1160"/>
  <c r="W1160" s="1"/>
  <c r="W1159"/>
  <c r="V1052"/>
  <c r="W1052" s="1"/>
  <c r="W1051"/>
  <c r="V917"/>
  <c r="W917" s="1"/>
  <c r="W916"/>
  <c r="V863"/>
  <c r="W863" s="1"/>
  <c r="W862"/>
  <c r="V674"/>
  <c r="W674" s="1"/>
  <c r="W673"/>
  <c r="V485"/>
  <c r="W485" s="1"/>
  <c r="W484"/>
  <c r="V404"/>
  <c r="W404" s="1"/>
  <c r="W403"/>
  <c r="V269"/>
  <c r="W269" s="1"/>
  <c r="W268"/>
  <c r="V215"/>
  <c r="W215" s="1"/>
  <c r="W214"/>
  <c r="H149" i="62"/>
  <c r="M149" s="1"/>
  <c r="I379" i="46"/>
  <c r="I149" i="62" s="1"/>
  <c r="I386" i="46"/>
  <c r="I156" i="62" s="1"/>
  <c r="I387" i="46"/>
  <c r="I157" i="62" s="1"/>
  <c r="M379" i="46"/>
  <c r="I388"/>
  <c r="I158" i="62" s="1"/>
  <c r="I384" i="46"/>
  <c r="I154" i="62" s="1"/>
  <c r="I381" i="46"/>
  <c r="I151" i="62" s="1"/>
  <c r="I383" i="46"/>
  <c r="I153" i="62" s="1"/>
  <c r="I380" i="46"/>
  <c r="I150" i="62" s="1"/>
  <c r="I382" i="46"/>
  <c r="I152" i="62" s="1"/>
  <c r="I385" i="46"/>
  <c r="I155" i="62" s="1"/>
  <c r="C563" i="52"/>
  <c r="O515"/>
  <c r="Q515" s="1"/>
  <c r="BN1493" i="50"/>
  <c r="AZ1507"/>
  <c r="M1507" s="1"/>
  <c r="AW1507"/>
  <c r="AW1402"/>
  <c r="AV1402"/>
  <c r="K1402"/>
  <c r="M1402" s="1"/>
  <c r="I1019"/>
  <c r="AJ1019"/>
  <c r="BL1898"/>
  <c r="BC1914"/>
  <c r="BC1913"/>
  <c r="I1911"/>
  <c r="AP1911"/>
  <c r="AQ1911" s="1"/>
  <c r="BM1898"/>
  <c r="I1103"/>
  <c r="AR1103"/>
  <c r="AS1103"/>
  <c r="AT1103" s="1"/>
  <c r="AR1102"/>
  <c r="I1102"/>
  <c r="AS1102"/>
  <c r="AT1102" s="1"/>
  <c r="AJ1098"/>
  <c r="I1098"/>
  <c r="O466" i="52"/>
  <c r="Q466" s="1"/>
  <c r="C514"/>
  <c r="I1505" i="50"/>
  <c r="AJ1505"/>
  <c r="BL1601"/>
  <c r="BC1617"/>
  <c r="BC1616"/>
  <c r="AZ1453"/>
  <c r="M1453" s="1"/>
  <c r="AW1453"/>
  <c r="BN1439"/>
  <c r="BS332"/>
  <c r="AZ350"/>
  <c r="AZ349"/>
  <c r="M349" s="1"/>
  <c r="AV350"/>
  <c r="AW350"/>
  <c r="K350"/>
  <c r="M350" s="1"/>
  <c r="BO845"/>
  <c r="AW860"/>
  <c r="AZ860"/>
  <c r="M860" s="1"/>
  <c r="AW2020"/>
  <c r="AZ2020"/>
  <c r="M2020" s="1"/>
  <c r="BN2006"/>
  <c r="BS440"/>
  <c r="AZ457"/>
  <c r="M457" s="1"/>
  <c r="AZ458"/>
  <c r="AV458"/>
  <c r="AW458"/>
  <c r="K458"/>
  <c r="AP1587"/>
  <c r="AQ1587" s="1"/>
  <c r="I1587"/>
  <c r="BM1574"/>
  <c r="BD671"/>
  <c r="BE671"/>
  <c r="K1344"/>
  <c r="M1344" s="1"/>
  <c r="AS1344"/>
  <c r="AT1344" s="1"/>
  <c r="AV1344"/>
  <c r="AW1344"/>
  <c r="I1397"/>
  <c r="AJ1397"/>
  <c r="BR764"/>
  <c r="AZ781"/>
  <c r="AZ782"/>
  <c r="M782" s="1"/>
  <c r="BC780"/>
  <c r="BS683"/>
  <c r="AZ700"/>
  <c r="M700" s="1"/>
  <c r="AZ968"/>
  <c r="M968" s="1"/>
  <c r="BO953"/>
  <c r="AW968"/>
  <c r="BS1007"/>
  <c r="AZ1024"/>
  <c r="M1024" s="1"/>
  <c r="AZ1025"/>
  <c r="AV1025"/>
  <c r="K1025"/>
  <c r="M1025" s="1"/>
  <c r="AW1025"/>
  <c r="AV1915"/>
  <c r="AW1915"/>
  <c r="K1915"/>
  <c r="AZ1916"/>
  <c r="M1916" s="1"/>
  <c r="BR1898"/>
  <c r="AZ1915"/>
  <c r="BN1979"/>
  <c r="AW1993"/>
  <c r="AZ1993"/>
  <c r="M1993" s="1"/>
  <c r="BD509"/>
  <c r="BE509"/>
  <c r="AZ701"/>
  <c r="V1943"/>
  <c r="W1943" s="1"/>
  <c r="W1942"/>
  <c r="V1700"/>
  <c r="W1700" s="1"/>
  <c r="W1699"/>
  <c r="V1592"/>
  <c r="W1592" s="1"/>
  <c r="W1591"/>
  <c r="V1997"/>
  <c r="W1997" s="1"/>
  <c r="W1996"/>
  <c r="V2051"/>
  <c r="W2051" s="1"/>
  <c r="W2050"/>
  <c r="V1781"/>
  <c r="W1781" s="1"/>
  <c r="W1780"/>
  <c r="V1673"/>
  <c r="W1673" s="1"/>
  <c r="W1672"/>
  <c r="V1619"/>
  <c r="W1619" s="1"/>
  <c r="W1618"/>
  <c r="V1565"/>
  <c r="W1565" s="1"/>
  <c r="W1564"/>
  <c r="V1430"/>
  <c r="W1430" s="1"/>
  <c r="W1429"/>
  <c r="V1349"/>
  <c r="W1349" s="1"/>
  <c r="W1348"/>
  <c r="V1214"/>
  <c r="W1214" s="1"/>
  <c r="W1213"/>
  <c r="V1025"/>
  <c r="W1025" s="1"/>
  <c r="W1024"/>
  <c r="V944"/>
  <c r="W944" s="1"/>
  <c r="W943"/>
  <c r="V782"/>
  <c r="W782" s="1"/>
  <c r="W781"/>
  <c r="V728"/>
  <c r="W728" s="1"/>
  <c r="W727"/>
  <c r="V593"/>
  <c r="W593" s="1"/>
  <c r="W592"/>
  <c r="V512"/>
  <c r="W512" s="1"/>
  <c r="W511"/>
  <c r="V1889"/>
  <c r="W1889" s="1"/>
  <c r="W1888"/>
  <c r="V1808"/>
  <c r="W1808" s="1"/>
  <c r="W1807"/>
  <c r="V1538"/>
  <c r="W1538" s="1"/>
  <c r="W1537"/>
  <c r="V1484"/>
  <c r="W1484" s="1"/>
  <c r="W1483"/>
  <c r="V1322"/>
  <c r="W1322" s="1"/>
  <c r="W1321"/>
  <c r="V1187"/>
  <c r="W1187" s="1"/>
  <c r="W1186"/>
  <c r="V1079"/>
  <c r="W1079" s="1"/>
  <c r="W1078"/>
  <c r="V998"/>
  <c r="W998" s="1"/>
  <c r="W997"/>
  <c r="V890"/>
  <c r="W890" s="1"/>
  <c r="W889"/>
  <c r="V701"/>
  <c r="W701" s="1"/>
  <c r="W700"/>
  <c r="V620"/>
  <c r="W620" s="1"/>
  <c r="W619"/>
  <c r="V431"/>
  <c r="W431" s="1"/>
  <c r="W430"/>
  <c r="V377"/>
  <c r="W377" s="1"/>
  <c r="W376"/>
  <c r="V242"/>
  <c r="W242" s="1"/>
  <c r="W241"/>
  <c r="V161"/>
  <c r="W161" s="1"/>
  <c r="W160"/>
  <c r="AL25" i="46"/>
  <c r="AL26" s="1"/>
  <c r="AL31"/>
  <c r="AL34" s="1"/>
  <c r="AL36" s="1"/>
  <c r="H75" i="62"/>
  <c r="BO737" i="50"/>
  <c r="AW752"/>
  <c r="AZ752"/>
  <c r="M752" s="1"/>
  <c r="BN440"/>
  <c r="AZ454"/>
  <c r="M454" s="1"/>
  <c r="AW454"/>
  <c r="BS1898"/>
  <c r="AW1916"/>
  <c r="K136" i="58"/>
  <c r="M136" s="1"/>
  <c r="AF136"/>
  <c r="AG136" s="1"/>
  <c r="I1105" i="50"/>
  <c r="AO1105"/>
  <c r="AQ1105" s="1"/>
  <c r="AR1105"/>
  <c r="AR1100"/>
  <c r="BJ1088" s="1"/>
  <c r="AO1100"/>
  <c r="AI1100"/>
  <c r="AN1100"/>
  <c r="AF1100"/>
  <c r="AG1100"/>
  <c r="AF1104"/>
  <c r="AN1104"/>
  <c r="AR1104"/>
  <c r="BP1088" s="1"/>
  <c r="AJ1104"/>
  <c r="AG1104"/>
  <c r="AO1104"/>
  <c r="AO1106"/>
  <c r="AQ1106" s="1"/>
  <c r="AS1106" s="1"/>
  <c r="AT1106" s="1"/>
  <c r="AR1106"/>
  <c r="BS1088" s="1"/>
  <c r="I1106"/>
  <c r="AF1101"/>
  <c r="AN1101"/>
  <c r="AO1101"/>
  <c r="AR1101"/>
  <c r="AJ1101"/>
  <c r="AG1101"/>
  <c r="C647" i="52"/>
  <c r="O647" s="1"/>
  <c r="Q647" s="1"/>
  <c r="O599"/>
  <c r="Q599" s="1"/>
  <c r="AW1049" i="50"/>
  <c r="AZ1049"/>
  <c r="M1049" s="1"/>
  <c r="BO1034"/>
  <c r="BM1601"/>
  <c r="AP1614"/>
  <c r="AQ1614" s="1"/>
  <c r="I1614"/>
  <c r="AZ940"/>
  <c r="M940" s="1"/>
  <c r="AW940"/>
  <c r="BN926"/>
  <c r="BL1574"/>
  <c r="BC1590"/>
  <c r="BC1589"/>
  <c r="BN1196"/>
  <c r="AZ1210"/>
  <c r="M1210" s="1"/>
  <c r="AW1210"/>
  <c r="AW781"/>
  <c r="K781"/>
  <c r="M781" s="1"/>
  <c r="AS781"/>
  <c r="AT781" s="1"/>
  <c r="AV781"/>
  <c r="AV701"/>
  <c r="K701"/>
  <c r="M701" s="1"/>
  <c r="AW701"/>
  <c r="BD510"/>
  <c r="BE510"/>
  <c r="AS1402"/>
  <c r="AT1402" s="1"/>
  <c r="AH1098"/>
  <c r="AP1098" s="1"/>
  <c r="AS350"/>
  <c r="AT350" s="1"/>
  <c r="AS458"/>
  <c r="AT458" s="1"/>
  <c r="AS1025"/>
  <c r="AT1025" s="1"/>
  <c r="AS1915"/>
  <c r="AT1915" s="1"/>
  <c r="I1672" l="1"/>
  <c r="AO1672"/>
  <c r="AQ1672" s="1"/>
  <c r="AR1672"/>
  <c r="AS1672"/>
  <c r="AT1672" s="1"/>
  <c r="AC1670"/>
  <c r="AI1665"/>
  <c r="AC1668"/>
  <c r="AG1665"/>
  <c r="AC1669"/>
  <c r="AF1665"/>
  <c r="AH1665" s="1"/>
  <c r="AC1673"/>
  <c r="AC1671"/>
  <c r="AS1665"/>
  <c r="AT1665" s="1"/>
  <c r="AF1047"/>
  <c r="AJ1047"/>
  <c r="AR1047"/>
  <c r="BL1034" s="1"/>
  <c r="AN1047"/>
  <c r="AG1047"/>
  <c r="AO1047"/>
  <c r="AR375"/>
  <c r="BP359" s="1"/>
  <c r="AF375"/>
  <c r="AN375"/>
  <c r="AG375"/>
  <c r="AO375"/>
  <c r="AJ375"/>
  <c r="AR373"/>
  <c r="I373"/>
  <c r="AS373"/>
  <c r="AT373" s="1"/>
  <c r="I1697"/>
  <c r="AR1697"/>
  <c r="AS1697"/>
  <c r="AT1697" s="1"/>
  <c r="I1699"/>
  <c r="AR1699"/>
  <c r="AO1699"/>
  <c r="AQ1699" s="1"/>
  <c r="AC1884"/>
  <c r="AC1885"/>
  <c r="AI1881"/>
  <c r="AG1881"/>
  <c r="AC1886"/>
  <c r="AS1881"/>
  <c r="AT1881" s="1"/>
  <c r="AF1881"/>
  <c r="AH1881" s="1"/>
  <c r="AC1889"/>
  <c r="AO533"/>
  <c r="AR533"/>
  <c r="BJ521" s="1"/>
  <c r="AG533"/>
  <c r="AN533"/>
  <c r="AI533"/>
  <c r="AF533"/>
  <c r="AR1619"/>
  <c r="AO1619"/>
  <c r="AQ1619" s="1"/>
  <c r="AS1619" s="1"/>
  <c r="AT1619" s="1"/>
  <c r="I1619"/>
  <c r="AO1749"/>
  <c r="AF1749"/>
  <c r="AG1749"/>
  <c r="AJ1749"/>
  <c r="AR1749"/>
  <c r="AN1749"/>
  <c r="AE67" i="58"/>
  <c r="AU58" s="1"/>
  <c r="AF67"/>
  <c r="AG67" s="1"/>
  <c r="AC67"/>
  <c r="AC71"/>
  <c r="AD71" s="1"/>
  <c r="K71" s="1"/>
  <c r="M71" s="1"/>
  <c r="AE71"/>
  <c r="AY58" s="1"/>
  <c r="AF71"/>
  <c r="AG71" s="1"/>
  <c r="AJ89" i="61"/>
  <c r="AR89"/>
  <c r="AS89"/>
  <c r="AM89"/>
  <c r="AN89"/>
  <c r="AK89"/>
  <c r="D89"/>
  <c r="G89"/>
  <c r="AP89"/>
  <c r="AL89"/>
  <c r="F89"/>
  <c r="AT89"/>
  <c r="AO89"/>
  <c r="AG89"/>
  <c r="E89"/>
  <c r="AI89"/>
  <c r="AH89"/>
  <c r="AU89"/>
  <c r="AQ89"/>
  <c r="AH91"/>
  <c r="AU91"/>
  <c r="AQ91"/>
  <c r="AP91"/>
  <c r="D91"/>
  <c r="F91"/>
  <c r="AO91"/>
  <c r="AJ91"/>
  <c r="AS91"/>
  <c r="E91"/>
  <c r="AT91"/>
  <c r="AK91"/>
  <c r="AI91"/>
  <c r="AM91"/>
  <c r="AR91"/>
  <c r="AG91"/>
  <c r="G91"/>
  <c r="AN91"/>
  <c r="AL91"/>
  <c r="E85"/>
  <c r="AL85"/>
  <c r="AR85"/>
  <c r="AH85"/>
  <c r="G85"/>
  <c r="AO85"/>
  <c r="AI85"/>
  <c r="AP85"/>
  <c r="D85"/>
  <c r="AT85"/>
  <c r="AG85"/>
  <c r="AU85"/>
  <c r="AK85"/>
  <c r="AN85"/>
  <c r="AS85"/>
  <c r="AJ85"/>
  <c r="AM85"/>
  <c r="AQ85"/>
  <c r="F85"/>
  <c r="AU90"/>
  <c r="D90"/>
  <c r="AR90"/>
  <c r="AP90"/>
  <c r="AL90"/>
  <c r="G90"/>
  <c r="AT90"/>
  <c r="AJ90"/>
  <c r="AK90"/>
  <c r="AM90"/>
  <c r="AG90"/>
  <c r="AN90"/>
  <c r="AO90"/>
  <c r="F90"/>
  <c r="AI90"/>
  <c r="AH90"/>
  <c r="AS90"/>
  <c r="E90"/>
  <c r="AQ90"/>
  <c r="AF197" i="58"/>
  <c r="AG197" s="1"/>
  <c r="AE197"/>
  <c r="AW186" s="1"/>
  <c r="AF195"/>
  <c r="AG195" s="1"/>
  <c r="AC195"/>
  <c r="AE195"/>
  <c r="AU186" s="1"/>
  <c r="AA232"/>
  <c r="I232"/>
  <c r="BJ232"/>
  <c r="AK232"/>
  <c r="AF230"/>
  <c r="AG230" s="1"/>
  <c r="AE230"/>
  <c r="AX218" s="1"/>
  <c r="AE356"/>
  <c r="AV346" s="1"/>
  <c r="AC356"/>
  <c r="AD356" s="1"/>
  <c r="K356" s="1"/>
  <c r="M356" s="1"/>
  <c r="AF356"/>
  <c r="AG356" s="1"/>
  <c r="E27"/>
  <c r="L27" s="1"/>
  <c r="H27"/>
  <c r="T27"/>
  <c r="G393" s="1"/>
  <c r="H393" s="1"/>
  <c r="U27"/>
  <c r="U18"/>
  <c r="T18"/>
  <c r="G384" s="1"/>
  <c r="H384" s="1"/>
  <c r="H18"/>
  <c r="E18"/>
  <c r="L18" s="1"/>
  <c r="E19"/>
  <c r="L19" s="1"/>
  <c r="T19"/>
  <c r="G385" s="1"/>
  <c r="H385" s="1"/>
  <c r="U19"/>
  <c r="H19"/>
  <c r="H23"/>
  <c r="U23"/>
  <c r="E23"/>
  <c r="L23" s="1"/>
  <c r="T23"/>
  <c r="G389" s="1"/>
  <c r="H389" s="1"/>
  <c r="E20"/>
  <c r="L20" s="1"/>
  <c r="H20"/>
  <c r="U20"/>
  <c r="T20"/>
  <c r="G386" s="1"/>
  <c r="H386" s="1"/>
  <c r="T76" i="50"/>
  <c r="K62"/>
  <c r="T77"/>
  <c r="T74"/>
  <c r="T63"/>
  <c r="T72"/>
  <c r="Z72" s="1"/>
  <c r="G72" s="1"/>
  <c r="T78"/>
  <c r="T79"/>
  <c r="T75"/>
  <c r="T80"/>
  <c r="V109"/>
  <c r="V101"/>
  <c r="V102" s="1"/>
  <c r="BD456"/>
  <c r="BE456"/>
  <c r="AS348"/>
  <c r="AT348" s="1"/>
  <c r="AW348"/>
  <c r="AV348"/>
  <c r="K348"/>
  <c r="M348" s="1"/>
  <c r="BH1034"/>
  <c r="AO1051"/>
  <c r="AQ1051" s="1"/>
  <c r="AR1051"/>
  <c r="BC1050" s="1"/>
  <c r="I1051"/>
  <c r="AS1051"/>
  <c r="AT1051" s="1"/>
  <c r="AC376"/>
  <c r="AS369"/>
  <c r="AT369" s="1"/>
  <c r="AG369"/>
  <c r="AC371"/>
  <c r="AC372"/>
  <c r="AF369"/>
  <c r="AH369" s="1"/>
  <c r="AI369"/>
  <c r="AC377"/>
  <c r="AR1751"/>
  <c r="I1751"/>
  <c r="AS1751"/>
  <c r="AT1751" s="1"/>
  <c r="G211" i="38"/>
  <c r="H211" s="1"/>
  <c r="Q382" i="52"/>
  <c r="G286"/>
  <c r="B47" i="57"/>
  <c r="W73" i="38"/>
  <c r="W72"/>
  <c r="W71"/>
  <c r="AC1754" i="50"/>
  <c r="AS1746"/>
  <c r="AT1746" s="1"/>
  <c r="AF1746"/>
  <c r="AI1746"/>
  <c r="AG1746"/>
  <c r="AC1750"/>
  <c r="AC1753"/>
  <c r="AC1752"/>
  <c r="AC264" i="58"/>
  <c r="AD264" s="1"/>
  <c r="K264" s="1"/>
  <c r="M264" s="1"/>
  <c r="AE264"/>
  <c r="AZ250" s="1"/>
  <c r="AF264"/>
  <c r="AG264" s="1"/>
  <c r="AP196"/>
  <c r="AP198" s="1"/>
  <c r="AP197"/>
  <c r="AA360"/>
  <c r="I360"/>
  <c r="AK360"/>
  <c r="BJ360"/>
  <c r="BZ1284" i="50"/>
  <c r="BZ1287"/>
  <c r="AY1291"/>
  <c r="BZ1291"/>
  <c r="AY1289"/>
  <c r="BZ1289"/>
  <c r="AR1287"/>
  <c r="M1287"/>
  <c r="AY1292"/>
  <c r="BZ1292"/>
  <c r="AY1295"/>
  <c r="AY1370"/>
  <c r="AY1371"/>
  <c r="AY1374"/>
  <c r="BZ2040"/>
  <c r="BZ2043"/>
  <c r="AY2050"/>
  <c r="BZ2050"/>
  <c r="AY2047"/>
  <c r="BZ2047"/>
  <c r="AC2040"/>
  <c r="AC2043"/>
  <c r="AR2043"/>
  <c r="M2043"/>
  <c r="Z128"/>
  <c r="BD644"/>
  <c r="BE644"/>
  <c r="L11" i="61"/>
  <c r="AX11"/>
  <c r="F11"/>
  <c r="K11"/>
  <c r="O11"/>
  <c r="U11"/>
  <c r="J11"/>
  <c r="AW11"/>
  <c r="M11"/>
  <c r="AU11"/>
  <c r="I11"/>
  <c r="N11"/>
  <c r="H11"/>
  <c r="Q11"/>
  <c r="G11"/>
  <c r="AY11"/>
  <c r="R11"/>
  <c r="T11"/>
  <c r="E11"/>
  <c r="AV11"/>
  <c r="D11"/>
  <c r="S11"/>
  <c r="P11"/>
  <c r="C278" i="50"/>
  <c r="I374"/>
  <c r="AS374"/>
  <c r="AT374" s="1"/>
  <c r="AR374"/>
  <c r="AO1748"/>
  <c r="AG1748"/>
  <c r="AI1748"/>
  <c r="AF1748"/>
  <c r="AN1748"/>
  <c r="AR1748"/>
  <c r="BJ1736" s="1"/>
  <c r="AF70" i="58"/>
  <c r="AG70" s="1"/>
  <c r="AE70"/>
  <c r="AX58" s="1"/>
  <c r="AT87" i="61"/>
  <c r="AN87"/>
  <c r="AH87"/>
  <c r="G87"/>
  <c r="AL87"/>
  <c r="AJ87"/>
  <c r="F87"/>
  <c r="AQ87"/>
  <c r="AK87"/>
  <c r="AS87"/>
  <c r="AI87"/>
  <c r="AM87"/>
  <c r="AO87"/>
  <c r="E87"/>
  <c r="AU87"/>
  <c r="AR87"/>
  <c r="AG87"/>
  <c r="AP87"/>
  <c r="D87"/>
  <c r="D88"/>
  <c r="E88"/>
  <c r="AQ88"/>
  <c r="AU88"/>
  <c r="G88"/>
  <c r="AP88"/>
  <c r="AT88"/>
  <c r="AI88"/>
  <c r="AH88"/>
  <c r="AM88"/>
  <c r="AJ88"/>
  <c r="AR88"/>
  <c r="F88"/>
  <c r="AN88"/>
  <c r="AG88"/>
  <c r="AO88"/>
  <c r="AS88"/>
  <c r="AL88"/>
  <c r="AK88"/>
  <c r="F86"/>
  <c r="AK86"/>
  <c r="AG86"/>
  <c r="AS86"/>
  <c r="AR86"/>
  <c r="AP86"/>
  <c r="AJ86"/>
  <c r="AH86"/>
  <c r="AT86"/>
  <c r="AI86"/>
  <c r="AL86"/>
  <c r="D86"/>
  <c r="E86"/>
  <c r="AN86"/>
  <c r="G86"/>
  <c r="AM86"/>
  <c r="AU86"/>
  <c r="AQ86"/>
  <c r="AO86"/>
  <c r="AE199" i="58"/>
  <c r="AY186" s="1"/>
  <c r="AC199"/>
  <c r="AD199" s="1"/>
  <c r="K199" s="1"/>
  <c r="M199" s="1"/>
  <c r="AF357"/>
  <c r="AG357" s="1"/>
  <c r="AE357"/>
  <c r="AW346" s="1"/>
  <c r="T21"/>
  <c r="G387" s="1"/>
  <c r="H387" s="1"/>
  <c r="U21"/>
  <c r="E21"/>
  <c r="L21" s="1"/>
  <c r="H21"/>
  <c r="E26"/>
  <c r="L26" s="1"/>
  <c r="T26"/>
  <c r="G392" s="1"/>
  <c r="H392" s="1"/>
  <c r="U26"/>
  <c r="H26"/>
  <c r="U25"/>
  <c r="E25"/>
  <c r="L25" s="1"/>
  <c r="H25"/>
  <c r="T25"/>
  <c r="G391" s="1"/>
  <c r="H391" s="1"/>
  <c r="E22"/>
  <c r="L22" s="1"/>
  <c r="T22"/>
  <c r="G388" s="1"/>
  <c r="H388" s="1"/>
  <c r="H22"/>
  <c r="U22"/>
  <c r="H24"/>
  <c r="T24"/>
  <c r="G390" s="1"/>
  <c r="H390" s="1"/>
  <c r="E24"/>
  <c r="L24" s="1"/>
  <c r="U24"/>
  <c r="V82" i="50"/>
  <c r="V74"/>
  <c r="V75" s="1"/>
  <c r="K89"/>
  <c r="T106"/>
  <c r="T101"/>
  <c r="Z101" s="1"/>
  <c r="T99"/>
  <c r="Z99" s="1"/>
  <c r="G99" s="1"/>
  <c r="T107"/>
  <c r="T90"/>
  <c r="T104"/>
  <c r="T102"/>
  <c r="T105"/>
  <c r="T103"/>
  <c r="AV108" i="61"/>
  <c r="AY108"/>
  <c r="AX108"/>
  <c r="AW108"/>
  <c r="AU108"/>
  <c r="Y29" i="28"/>
  <c r="Y26" s="1"/>
  <c r="Y27" s="1"/>
  <c r="Y32"/>
  <c r="Y33" s="1"/>
  <c r="Y34" s="1"/>
  <c r="Y35" s="1"/>
  <c r="Y36" s="1"/>
  <c r="Y37" s="1"/>
  <c r="Y38" s="1"/>
  <c r="Y39" s="1"/>
  <c r="Y40" s="1"/>
  <c r="Y41" s="1"/>
  <c r="Y42" s="1"/>
  <c r="Y43" s="1"/>
  <c r="Y44" s="1"/>
  <c r="Y45" s="1"/>
  <c r="Y46" s="1"/>
  <c r="Y47" s="1"/>
  <c r="Y52" s="1"/>
  <c r="AS1425" i="50"/>
  <c r="AT1425" s="1"/>
  <c r="K1425"/>
  <c r="M1425" s="1"/>
  <c r="AW1425"/>
  <c r="AV1425"/>
  <c r="AP344"/>
  <c r="AQ344" s="1"/>
  <c r="BK332"/>
  <c r="AX344"/>
  <c r="O548" i="52"/>
  <c r="Q548" s="1"/>
  <c r="C596"/>
  <c r="AF164" i="58"/>
  <c r="AG164" s="1"/>
  <c r="K164"/>
  <c r="M164" s="1"/>
  <c r="AI1046" i="50"/>
  <c r="AO1046"/>
  <c r="AN1046"/>
  <c r="AR1046"/>
  <c r="BJ1034" s="1"/>
  <c r="AF1046"/>
  <c r="AG1046"/>
  <c r="BH359"/>
  <c r="AI1692"/>
  <c r="AG1692"/>
  <c r="AS1692"/>
  <c r="AT1692" s="1"/>
  <c r="AF1692"/>
  <c r="AH1692" s="1"/>
  <c r="AC1694"/>
  <c r="AC1695"/>
  <c r="AC1696"/>
  <c r="AC1700"/>
  <c r="O430" i="52"/>
  <c r="Q430" s="1"/>
  <c r="C478"/>
  <c r="AO537" i="50"/>
  <c r="AR537"/>
  <c r="BP521" s="1"/>
  <c r="AG537"/>
  <c r="AJ537"/>
  <c r="AF537"/>
  <c r="AN537"/>
  <c r="AC1077"/>
  <c r="AS1071"/>
  <c r="AT1071" s="1"/>
  <c r="AF1071"/>
  <c r="AH1071" s="1"/>
  <c r="AI1071"/>
  <c r="AC1075"/>
  <c r="AG1071"/>
  <c r="AC1079"/>
  <c r="AC1078"/>
  <c r="AC1073"/>
  <c r="AC1074"/>
  <c r="AC1076"/>
  <c r="BE186" i="58"/>
  <c r="N186"/>
  <c r="BH186" s="1"/>
  <c r="AO196"/>
  <c r="AO198" s="1"/>
  <c r="AO197"/>
  <c r="AE196"/>
  <c r="AV186" s="1"/>
  <c r="AF196"/>
  <c r="AG196" s="1"/>
  <c r="AC196"/>
  <c r="AD196" s="1"/>
  <c r="K196" s="1"/>
  <c r="M196" s="1"/>
  <c r="AC226"/>
  <c r="AE226"/>
  <c r="AT218" s="1"/>
  <c r="AF226"/>
  <c r="AG226" s="1"/>
  <c r="AC228"/>
  <c r="AD228" s="1"/>
  <c r="K228" s="1"/>
  <c r="M228" s="1"/>
  <c r="AE228"/>
  <c r="AV218" s="1"/>
  <c r="H70" i="62"/>
  <c r="H2093" i="50"/>
  <c r="AY1290"/>
  <c r="AC1290"/>
  <c r="BZ1290"/>
  <c r="AY1293"/>
  <c r="BZ1293"/>
  <c r="AY1294"/>
  <c r="AC1294"/>
  <c r="BZ1294"/>
  <c r="AC1284"/>
  <c r="AC1287"/>
  <c r="BZ1368"/>
  <c r="BZ1378" s="1"/>
  <c r="BZ1365"/>
  <c r="AY1375"/>
  <c r="AC1365"/>
  <c r="AC1368"/>
  <c r="AY1373"/>
  <c r="AC1373"/>
  <c r="BZ1373"/>
  <c r="M1368"/>
  <c r="AR1368"/>
  <c r="AY1372"/>
  <c r="AC1372"/>
  <c r="AY1376"/>
  <c r="AC1376"/>
  <c r="BZ1376"/>
  <c r="AY2048"/>
  <c r="AC2048"/>
  <c r="BZ2048"/>
  <c r="AY2051"/>
  <c r="AC2051"/>
  <c r="AY2045"/>
  <c r="AC2045"/>
  <c r="BZ2045"/>
  <c r="AC2046"/>
  <c r="AY2046"/>
  <c r="BZ2046"/>
  <c r="AY2049"/>
  <c r="AC2049"/>
  <c r="BZ2049"/>
  <c r="BZ156"/>
  <c r="AC161"/>
  <c r="AC157"/>
  <c r="BZ159"/>
  <c r="BZ160"/>
  <c r="Z129"/>
  <c r="AA129" s="1"/>
  <c r="AC1887"/>
  <c r="AC1667"/>
  <c r="AC1698"/>
  <c r="AC1888"/>
  <c r="AC1883"/>
  <c r="AF132" i="58"/>
  <c r="AG132" s="1"/>
  <c r="D103" i="61"/>
  <c r="AA103"/>
  <c r="AY103"/>
  <c r="AU103"/>
  <c r="AE103"/>
  <c r="S103"/>
  <c r="R103"/>
  <c r="U103"/>
  <c r="AV103"/>
  <c r="W103"/>
  <c r="E103"/>
  <c r="X103"/>
  <c r="AW103"/>
  <c r="AC103"/>
  <c r="V103"/>
  <c r="Z103"/>
  <c r="Y103"/>
  <c r="AB103"/>
  <c r="AX103"/>
  <c r="AF103"/>
  <c r="T103"/>
  <c r="AD103"/>
  <c r="E100"/>
  <c r="AB100"/>
  <c r="U100"/>
  <c r="D100"/>
  <c r="AY100"/>
  <c r="AX100"/>
  <c r="W100"/>
  <c r="AW100"/>
  <c r="Z100"/>
  <c r="AC100"/>
  <c r="V100"/>
  <c r="AV100"/>
  <c r="AU100"/>
  <c r="T100"/>
  <c r="R100"/>
  <c r="AF100"/>
  <c r="AE100"/>
  <c r="S100"/>
  <c r="AA100"/>
  <c r="Y100"/>
  <c r="AD100"/>
  <c r="X100"/>
  <c r="G128" i="50"/>
  <c r="AA128"/>
  <c r="AC121"/>
  <c r="Y128"/>
  <c r="Y126"/>
  <c r="BZ121"/>
  <c r="Y129"/>
  <c r="E119"/>
  <c r="G129"/>
  <c r="BE129"/>
  <c r="BD128"/>
  <c r="Q119"/>
  <c r="AK128"/>
  <c r="AK126"/>
  <c r="BE130"/>
  <c r="BD130"/>
  <c r="Q116"/>
  <c r="Q117"/>
  <c r="Q126"/>
  <c r="BA6" i="61"/>
  <c r="BD129" i="50"/>
  <c r="BE128"/>
  <c r="Q125"/>
  <c r="AZ643"/>
  <c r="M643" s="1"/>
  <c r="BN629"/>
  <c r="AW643"/>
  <c r="BO629"/>
  <c r="AW644"/>
  <c r="AZ644"/>
  <c r="M644" s="1"/>
  <c r="AX645"/>
  <c r="BQ629"/>
  <c r="I645"/>
  <c r="AP645"/>
  <c r="AQ645" s="1"/>
  <c r="AP641"/>
  <c r="AQ641" s="1"/>
  <c r="BK629"/>
  <c r="AX641"/>
  <c r="BC779"/>
  <c r="AJ1185"/>
  <c r="AO1185"/>
  <c r="AF1185"/>
  <c r="AN1185"/>
  <c r="AR1185"/>
  <c r="BP1169" s="1"/>
  <c r="AG1185"/>
  <c r="AJ1182"/>
  <c r="AO1182"/>
  <c r="AG1182"/>
  <c r="AF1182"/>
  <c r="AR1182"/>
  <c r="AN1182"/>
  <c r="AC1187"/>
  <c r="AC1186"/>
  <c r="AC1183"/>
  <c r="AF1179"/>
  <c r="AS1179"/>
  <c r="AT1179" s="1"/>
  <c r="AG1179"/>
  <c r="AI1179"/>
  <c r="AC1181"/>
  <c r="AC1184"/>
  <c r="AI1314"/>
  <c r="AC1319"/>
  <c r="AF1314"/>
  <c r="AC1317"/>
  <c r="AC1320"/>
  <c r="AC1316"/>
  <c r="AG1314"/>
  <c r="AH1314" s="1"/>
  <c r="AC1321"/>
  <c r="AS1314"/>
  <c r="AT1314" s="1"/>
  <c r="AC1322"/>
  <c r="AC1318"/>
  <c r="V130"/>
  <c r="V131" s="1"/>
  <c r="V132" s="1"/>
  <c r="V133" s="1"/>
  <c r="BI89"/>
  <c r="V103"/>
  <c r="V104" s="1"/>
  <c r="V105" s="1"/>
  <c r="V106" s="1"/>
  <c r="BI62"/>
  <c r="AV209"/>
  <c r="AS209"/>
  <c r="AT209" s="1"/>
  <c r="K209"/>
  <c r="M209" s="1"/>
  <c r="AW209"/>
  <c r="AG159"/>
  <c r="AR159"/>
  <c r="BP143" s="1"/>
  <c r="AF159"/>
  <c r="AN159"/>
  <c r="AO159"/>
  <c r="AJ159"/>
  <c r="AO156"/>
  <c r="AG156"/>
  <c r="AR156"/>
  <c r="BL143" s="1"/>
  <c r="AJ156"/>
  <c r="AF156"/>
  <c r="AN156"/>
  <c r="AR155"/>
  <c r="BJ143" s="1"/>
  <c r="AF155"/>
  <c r="AO155"/>
  <c r="AG155"/>
  <c r="AI155"/>
  <c r="AN155"/>
  <c r="BH143"/>
  <c r="BZ167"/>
  <c r="BZ165"/>
  <c r="AO161"/>
  <c r="AQ161" s="1"/>
  <c r="AS161" s="1"/>
  <c r="AT161" s="1"/>
  <c r="AR161"/>
  <c r="BS143" s="1"/>
  <c r="I161"/>
  <c r="I157"/>
  <c r="AS157"/>
  <c r="AT157" s="1"/>
  <c r="AR157"/>
  <c r="AC158"/>
  <c r="AF153"/>
  <c r="AS153"/>
  <c r="AT153" s="1"/>
  <c r="AI153"/>
  <c r="AG153"/>
  <c r="AV1992"/>
  <c r="AW1992"/>
  <c r="K1992"/>
  <c r="M1992" s="1"/>
  <c r="AS1992"/>
  <c r="AT1992" s="1"/>
  <c r="AC160"/>
  <c r="BD1454"/>
  <c r="BE1454"/>
  <c r="BZ1835"/>
  <c r="AS1613"/>
  <c r="AT1613" s="1"/>
  <c r="AW1613"/>
  <c r="K1613"/>
  <c r="M1613" s="1"/>
  <c r="AV1613"/>
  <c r="BE1994"/>
  <c r="BD1994"/>
  <c r="BK1115"/>
  <c r="AX1127"/>
  <c r="AP1127"/>
  <c r="AQ1127" s="1"/>
  <c r="AS1209"/>
  <c r="AT1209" s="1"/>
  <c r="AW1209"/>
  <c r="K1209"/>
  <c r="M1209" s="1"/>
  <c r="AV1209"/>
  <c r="BZ1780"/>
  <c r="AC1240"/>
  <c r="AO1240" s="1"/>
  <c r="AQ1240" s="1"/>
  <c r="AS1240" s="1"/>
  <c r="AT1240" s="1"/>
  <c r="M268"/>
  <c r="K1128"/>
  <c r="M1128" s="1"/>
  <c r="AS1128"/>
  <c r="AT1128" s="1"/>
  <c r="AV1128"/>
  <c r="AW1128"/>
  <c r="AV1941"/>
  <c r="AS1941"/>
  <c r="AT1941" s="1"/>
  <c r="K1941"/>
  <c r="M1941" s="1"/>
  <c r="AW1941"/>
  <c r="BE699"/>
  <c r="BD699"/>
  <c r="BE212"/>
  <c r="BD212"/>
  <c r="BE914"/>
  <c r="BD914"/>
  <c r="AX74"/>
  <c r="BK62"/>
  <c r="AW321"/>
  <c r="AV321"/>
  <c r="AS321"/>
  <c r="AT321" s="1"/>
  <c r="K321"/>
  <c r="M321" s="1"/>
  <c r="BD1212"/>
  <c r="BE1212"/>
  <c r="AP965"/>
  <c r="AQ965" s="1"/>
  <c r="AX965"/>
  <c r="BK953"/>
  <c r="AW1725"/>
  <c r="K1725"/>
  <c r="M1725" s="1"/>
  <c r="AS1725"/>
  <c r="AT1725" s="1"/>
  <c r="AV1725"/>
  <c r="K267"/>
  <c r="M267" s="1"/>
  <c r="AS267"/>
  <c r="AT267" s="1"/>
  <c r="AV267"/>
  <c r="AW267"/>
  <c r="K966"/>
  <c r="M966" s="1"/>
  <c r="AS966"/>
  <c r="AT966" s="1"/>
  <c r="AW966"/>
  <c r="AV966"/>
  <c r="AP857"/>
  <c r="AQ857" s="1"/>
  <c r="BK845"/>
  <c r="AX857"/>
  <c r="AP317"/>
  <c r="AQ317" s="1"/>
  <c r="AX317"/>
  <c r="BK305"/>
  <c r="BE698"/>
  <c r="BD698"/>
  <c r="BE213"/>
  <c r="BD213"/>
  <c r="AS2073"/>
  <c r="AT2073" s="1"/>
  <c r="AV2073"/>
  <c r="K2073"/>
  <c r="M2073" s="1"/>
  <c r="AW2073"/>
  <c r="AV186"/>
  <c r="K186"/>
  <c r="M186" s="1"/>
  <c r="AW186"/>
  <c r="AS186"/>
  <c r="AT186" s="1"/>
  <c r="BE915"/>
  <c r="BD915"/>
  <c r="BE1211"/>
  <c r="BD1211"/>
  <c r="AX1208"/>
  <c r="AP1208"/>
  <c r="AQ1208" s="1"/>
  <c r="BK1196"/>
  <c r="AS1452"/>
  <c r="AT1452" s="1"/>
  <c r="AV1452"/>
  <c r="AW1452"/>
  <c r="K1452"/>
  <c r="M1452" s="1"/>
  <c r="K1212"/>
  <c r="M1212" s="1"/>
  <c r="AS1212"/>
  <c r="AT1212" s="1"/>
  <c r="AV1212"/>
  <c r="M944"/>
  <c r="M1457"/>
  <c r="AX1424"/>
  <c r="AP1424"/>
  <c r="AQ1424" s="1"/>
  <c r="BK1412"/>
  <c r="BD1427"/>
  <c r="BE1427"/>
  <c r="BE941"/>
  <c r="BD941"/>
  <c r="K699"/>
  <c r="M699" s="1"/>
  <c r="AS699"/>
  <c r="AT699" s="1"/>
  <c r="AW699"/>
  <c r="AV699"/>
  <c r="BE320"/>
  <c r="BD320"/>
  <c r="AP1937"/>
  <c r="AQ1937" s="1"/>
  <c r="BK1925"/>
  <c r="AX1937"/>
  <c r="K780"/>
  <c r="M780" s="1"/>
  <c r="AS780"/>
  <c r="AT780" s="1"/>
  <c r="AW780"/>
  <c r="AV780"/>
  <c r="BK764"/>
  <c r="AP776"/>
  <c r="AQ776" s="1"/>
  <c r="AX776"/>
  <c r="BE2075"/>
  <c r="BD2075"/>
  <c r="AV236"/>
  <c r="AW236"/>
  <c r="K236"/>
  <c r="M236" s="1"/>
  <c r="AS236"/>
  <c r="AT236" s="1"/>
  <c r="BD1428"/>
  <c r="BE1428"/>
  <c r="AW1938"/>
  <c r="AS1938"/>
  <c r="AT1938" s="1"/>
  <c r="K1938"/>
  <c r="M1938" s="1"/>
  <c r="AV1938"/>
  <c r="BD942"/>
  <c r="BE942"/>
  <c r="AP884"/>
  <c r="AQ884" s="1"/>
  <c r="BK872"/>
  <c r="AX884"/>
  <c r="K753"/>
  <c r="M753" s="1"/>
  <c r="AW753"/>
  <c r="AS753"/>
  <c r="AT753" s="1"/>
  <c r="AV753"/>
  <c r="BD321"/>
  <c r="BE321"/>
  <c r="BD2076"/>
  <c r="BE2076"/>
  <c r="BD2022"/>
  <c r="BE2022"/>
  <c r="BD2021"/>
  <c r="BE2021"/>
  <c r="AC1237"/>
  <c r="AS1237" s="1"/>
  <c r="AT1237" s="1"/>
  <c r="I564"/>
  <c r="AP564"/>
  <c r="AQ564" s="1"/>
  <c r="BQ548"/>
  <c r="BI548"/>
  <c r="AX564"/>
  <c r="BM548"/>
  <c r="I561"/>
  <c r="AP561"/>
  <c r="AQ561" s="1"/>
  <c r="AZ562"/>
  <c r="M562" s="1"/>
  <c r="BN548"/>
  <c r="AW562"/>
  <c r="AZ565"/>
  <c r="BR548"/>
  <c r="AZ566"/>
  <c r="BE1401"/>
  <c r="BD1401"/>
  <c r="BE1400"/>
  <c r="BD1400"/>
  <c r="AP720"/>
  <c r="AP558"/>
  <c r="AW563"/>
  <c r="BO548"/>
  <c r="AZ563"/>
  <c r="M563" s="1"/>
  <c r="AV566"/>
  <c r="AW566"/>
  <c r="K566"/>
  <c r="M566" s="1"/>
  <c r="AS566"/>
  <c r="AT566" s="1"/>
  <c r="BC564"/>
  <c r="BL548"/>
  <c r="BC563"/>
  <c r="BE1482"/>
  <c r="BD1482"/>
  <c r="K565"/>
  <c r="AW565"/>
  <c r="AV565"/>
  <c r="AV1401"/>
  <c r="K1401"/>
  <c r="M1401" s="1"/>
  <c r="AS1401"/>
  <c r="AT1401" s="1"/>
  <c r="AW1401"/>
  <c r="K1590"/>
  <c r="M1590" s="1"/>
  <c r="AV1590"/>
  <c r="AW1590"/>
  <c r="AS1590"/>
  <c r="AT1590" s="1"/>
  <c r="BE267"/>
  <c r="BD267"/>
  <c r="BE536"/>
  <c r="BD536"/>
  <c r="BD266"/>
  <c r="BE266"/>
  <c r="AW534"/>
  <c r="K534"/>
  <c r="M534" s="1"/>
  <c r="AV534"/>
  <c r="AS534"/>
  <c r="AT534" s="1"/>
  <c r="BD537"/>
  <c r="BE537"/>
  <c r="AZ1156"/>
  <c r="M1156" s="1"/>
  <c r="AW1156"/>
  <c r="BN1142"/>
  <c r="AW400"/>
  <c r="BN386"/>
  <c r="AZ400"/>
  <c r="M400" s="1"/>
  <c r="BC402"/>
  <c r="AZ403"/>
  <c r="AZ404"/>
  <c r="BR386"/>
  <c r="AW401"/>
  <c r="BO386"/>
  <c r="AZ401"/>
  <c r="M401" s="1"/>
  <c r="I805"/>
  <c r="AS805"/>
  <c r="AR805"/>
  <c r="AT805"/>
  <c r="I1240"/>
  <c r="AR1237"/>
  <c r="I1237"/>
  <c r="AC1236"/>
  <c r="AS1233"/>
  <c r="AT1233" s="1"/>
  <c r="AI1233"/>
  <c r="AF1233"/>
  <c r="AG1233"/>
  <c r="AX402"/>
  <c r="BI386"/>
  <c r="AR806"/>
  <c r="AS806"/>
  <c r="AT806" s="1"/>
  <c r="I806"/>
  <c r="AF801"/>
  <c r="AS801"/>
  <c r="AT801" s="1"/>
  <c r="AI801"/>
  <c r="AG801"/>
  <c r="BZ1239"/>
  <c r="BZ1243"/>
  <c r="BZ1235"/>
  <c r="BZ1238"/>
  <c r="BE1724"/>
  <c r="BD1724"/>
  <c r="AC1537"/>
  <c r="I1537" s="1"/>
  <c r="BZ1781"/>
  <c r="BZ1775"/>
  <c r="AH1854"/>
  <c r="AC808"/>
  <c r="AC1239"/>
  <c r="AC1235"/>
  <c r="AV403"/>
  <c r="AW403"/>
  <c r="AS403"/>
  <c r="AT403" s="1"/>
  <c r="K403"/>
  <c r="AO809"/>
  <c r="AQ809" s="1"/>
  <c r="AS809" s="1"/>
  <c r="AT809" s="1"/>
  <c r="I809"/>
  <c r="AR809"/>
  <c r="BS791" s="1"/>
  <c r="AR804"/>
  <c r="BL791" s="1"/>
  <c r="AO804"/>
  <c r="AJ804"/>
  <c r="AN804"/>
  <c r="AG804"/>
  <c r="AF804"/>
  <c r="AI803"/>
  <c r="AR803"/>
  <c r="BJ791" s="1"/>
  <c r="AN803"/>
  <c r="AF803"/>
  <c r="AG803"/>
  <c r="AO803"/>
  <c r="BH791"/>
  <c r="AS1238"/>
  <c r="AT1238" s="1"/>
  <c r="AR1238"/>
  <c r="I1238"/>
  <c r="AP399"/>
  <c r="AQ399" s="1"/>
  <c r="I399"/>
  <c r="BM386"/>
  <c r="BL386"/>
  <c r="BC401"/>
  <c r="BQ386"/>
  <c r="I402"/>
  <c r="AP402"/>
  <c r="AQ402" s="1"/>
  <c r="I398"/>
  <c r="AJ398"/>
  <c r="AW404"/>
  <c r="K404"/>
  <c r="AV404"/>
  <c r="AS404"/>
  <c r="AT404" s="1"/>
  <c r="AG807"/>
  <c r="AN807"/>
  <c r="AF807"/>
  <c r="AJ807"/>
  <c r="AO807"/>
  <c r="AR807"/>
  <c r="BP791" s="1"/>
  <c r="BZ804"/>
  <c r="BZ811"/>
  <c r="BH1223"/>
  <c r="BE1725"/>
  <c r="BD1725"/>
  <c r="AP777"/>
  <c r="AQ777" s="1"/>
  <c r="BM764"/>
  <c r="I777"/>
  <c r="AC1241"/>
  <c r="AR587"/>
  <c r="BJ575" s="1"/>
  <c r="AG587"/>
  <c r="AF587"/>
  <c r="AN587"/>
  <c r="AI587"/>
  <c r="AO587"/>
  <c r="AO1536"/>
  <c r="AF1536"/>
  <c r="AG1536"/>
  <c r="AN1536"/>
  <c r="AR1536"/>
  <c r="BP1520" s="1"/>
  <c r="AJ1536"/>
  <c r="K213"/>
  <c r="M213" s="1"/>
  <c r="AS213"/>
  <c r="AT213" s="1"/>
  <c r="AV213"/>
  <c r="AW213"/>
  <c r="BH1817"/>
  <c r="AR1829"/>
  <c r="BJ1817" s="1"/>
  <c r="AG1829"/>
  <c r="AF1829"/>
  <c r="AN1829"/>
  <c r="AI1829"/>
  <c r="AO1829"/>
  <c r="K858"/>
  <c r="M858" s="1"/>
  <c r="AS858"/>
  <c r="AT858" s="1"/>
  <c r="AV858"/>
  <c r="AW858"/>
  <c r="BE1509"/>
  <c r="BD1509"/>
  <c r="AO1537"/>
  <c r="AQ1537" s="1"/>
  <c r="AS1537" s="1"/>
  <c r="AT1537" s="1"/>
  <c r="AR1537"/>
  <c r="AO1780"/>
  <c r="AQ1780" s="1"/>
  <c r="AR1780"/>
  <c r="AS1780"/>
  <c r="I1780"/>
  <c r="AT1780"/>
  <c r="I1777"/>
  <c r="AS1777"/>
  <c r="AT1777" s="1"/>
  <c r="AR1777"/>
  <c r="AF1773"/>
  <c r="AS1773"/>
  <c r="AT1773" s="1"/>
  <c r="AG1773"/>
  <c r="AI1773"/>
  <c r="I1586"/>
  <c r="AJ1586"/>
  <c r="I1831"/>
  <c r="AS1831"/>
  <c r="AT1831" s="1"/>
  <c r="AR1831"/>
  <c r="AC1834"/>
  <c r="AS1827"/>
  <c r="AT1827" s="1"/>
  <c r="AI1827"/>
  <c r="AG1827"/>
  <c r="AF1827"/>
  <c r="I1854"/>
  <c r="AJ1854"/>
  <c r="AP1854" s="1"/>
  <c r="AR1859"/>
  <c r="AS1859"/>
  <c r="AT1859" s="1"/>
  <c r="I1859"/>
  <c r="I1862"/>
  <c r="AR1862"/>
  <c r="BS1844" s="1"/>
  <c r="AO1862"/>
  <c r="AQ1862" s="1"/>
  <c r="AN1857"/>
  <c r="AO1857"/>
  <c r="AR1857"/>
  <c r="AF1857"/>
  <c r="AJ1857"/>
  <c r="AG1857"/>
  <c r="AC592"/>
  <c r="AC1538"/>
  <c r="AC1775"/>
  <c r="AC591"/>
  <c r="AC593"/>
  <c r="BZ589"/>
  <c r="AC1534"/>
  <c r="AC1778"/>
  <c r="AC1779"/>
  <c r="AV749"/>
  <c r="AW749"/>
  <c r="K749"/>
  <c r="M749" s="1"/>
  <c r="AS749"/>
  <c r="AT749" s="1"/>
  <c r="BD672"/>
  <c r="BE672"/>
  <c r="AC589"/>
  <c r="AG585"/>
  <c r="AI585"/>
  <c r="AF585"/>
  <c r="AH585" s="1"/>
  <c r="AS585"/>
  <c r="AT585" s="1"/>
  <c r="BH575"/>
  <c r="AR1833"/>
  <c r="BP1817" s="1"/>
  <c r="AG1833"/>
  <c r="AN1833"/>
  <c r="AF1833"/>
  <c r="AJ1833"/>
  <c r="AO1833"/>
  <c r="AO1830"/>
  <c r="AR1830"/>
  <c r="BL1817" s="1"/>
  <c r="AF1830"/>
  <c r="AJ1830"/>
  <c r="AG1830"/>
  <c r="AN1830"/>
  <c r="BD1508"/>
  <c r="BE1508"/>
  <c r="AS1530"/>
  <c r="AT1530" s="1"/>
  <c r="AI1530"/>
  <c r="AG1530"/>
  <c r="AF1530"/>
  <c r="BH1520"/>
  <c r="BZ1776"/>
  <c r="BZ1783"/>
  <c r="AW1589"/>
  <c r="BO1574"/>
  <c r="AZ1589"/>
  <c r="M1589" s="1"/>
  <c r="I722"/>
  <c r="AJ722"/>
  <c r="AP726"/>
  <c r="AQ726" s="1"/>
  <c r="I726"/>
  <c r="BQ710"/>
  <c r="AX726"/>
  <c r="BZ599"/>
  <c r="BZ597"/>
  <c r="AR1835"/>
  <c r="BS1817" s="1"/>
  <c r="AO1835"/>
  <c r="AQ1835" s="1"/>
  <c r="I1835"/>
  <c r="BZ1839"/>
  <c r="BZ1841"/>
  <c r="AW1506"/>
  <c r="AV1506"/>
  <c r="K1506"/>
  <c r="M1506" s="1"/>
  <c r="AS1506"/>
  <c r="AT1506" s="1"/>
  <c r="I1861"/>
  <c r="AR1861"/>
  <c r="AO1861"/>
  <c r="AQ1861" s="1"/>
  <c r="AS1861" s="1"/>
  <c r="AT1861" s="1"/>
  <c r="AF1860"/>
  <c r="AR1860"/>
  <c r="BP1844" s="1"/>
  <c r="AN1860"/>
  <c r="AJ1860"/>
  <c r="AO1860"/>
  <c r="AG1860"/>
  <c r="AF1856"/>
  <c r="AN1856"/>
  <c r="AO1856"/>
  <c r="AR1856"/>
  <c r="BJ1844" s="1"/>
  <c r="AG1856"/>
  <c r="AI1856"/>
  <c r="AR1858"/>
  <c r="I1858"/>
  <c r="AS1858"/>
  <c r="AT1858" s="1"/>
  <c r="BZ1544"/>
  <c r="BZ1542"/>
  <c r="BH1763"/>
  <c r="AC588"/>
  <c r="AC590"/>
  <c r="AC1533"/>
  <c r="AC1781"/>
  <c r="BZ587"/>
  <c r="AC1832"/>
  <c r="BZ1831"/>
  <c r="AC1535"/>
  <c r="AC1532"/>
  <c r="AC1776"/>
  <c r="BZ1778"/>
  <c r="AR1563"/>
  <c r="BP1547" s="1"/>
  <c r="AO1563"/>
  <c r="AN1563"/>
  <c r="AG1563"/>
  <c r="AJ1563"/>
  <c r="AF1563"/>
  <c r="AE200" i="58"/>
  <c r="AZ186" s="1"/>
  <c r="AC200"/>
  <c r="AD200" s="1"/>
  <c r="K200" s="1"/>
  <c r="M200" s="1"/>
  <c r="BD753" i="50"/>
  <c r="BE753"/>
  <c r="AP2076"/>
  <c r="AQ2076" s="1"/>
  <c r="BQ2060"/>
  <c r="I2076"/>
  <c r="AX2076"/>
  <c r="I723"/>
  <c r="BM710"/>
  <c r="AP723"/>
  <c r="AQ723" s="1"/>
  <c r="BH1547"/>
  <c r="BL413"/>
  <c r="AS861"/>
  <c r="AT861" s="1"/>
  <c r="AV861"/>
  <c r="K861"/>
  <c r="M861" s="1"/>
  <c r="AW861"/>
  <c r="I431"/>
  <c r="AO431"/>
  <c r="AQ431" s="1"/>
  <c r="AR431"/>
  <c r="BS413" s="1"/>
  <c r="AS431"/>
  <c r="AT431" s="1"/>
  <c r="I423"/>
  <c r="AJ423"/>
  <c r="AG425"/>
  <c r="AR425"/>
  <c r="BJ413" s="1"/>
  <c r="AN425"/>
  <c r="AO425"/>
  <c r="AF425"/>
  <c r="AI425"/>
  <c r="AG429"/>
  <c r="AR429"/>
  <c r="BP413" s="1"/>
  <c r="AF429"/>
  <c r="AO429"/>
  <c r="AN429"/>
  <c r="AJ429"/>
  <c r="AW724"/>
  <c r="BN710"/>
  <c r="AZ724"/>
  <c r="M724" s="1"/>
  <c r="AW728"/>
  <c r="K728"/>
  <c r="AV728"/>
  <c r="AS728"/>
  <c r="AT728" s="1"/>
  <c r="BE483"/>
  <c r="BD483"/>
  <c r="BE1158"/>
  <c r="BD1158"/>
  <c r="AC1565"/>
  <c r="M862"/>
  <c r="M1727"/>
  <c r="AC1562"/>
  <c r="BE860"/>
  <c r="BD860"/>
  <c r="BD861"/>
  <c r="BE861"/>
  <c r="K345"/>
  <c r="M345" s="1"/>
  <c r="AS345"/>
  <c r="AT345" s="1"/>
  <c r="AV345"/>
  <c r="AW345"/>
  <c r="BD752"/>
  <c r="BE752"/>
  <c r="BK2006"/>
  <c r="AX2018"/>
  <c r="AP2018"/>
  <c r="AQ2018" s="1"/>
  <c r="AP560"/>
  <c r="AQ560" s="1"/>
  <c r="BK548"/>
  <c r="AX560"/>
  <c r="BO710"/>
  <c r="AZ725"/>
  <c r="M725" s="1"/>
  <c r="AW725"/>
  <c r="BL710"/>
  <c r="BC725"/>
  <c r="BC726"/>
  <c r="AC1561"/>
  <c r="AI1557"/>
  <c r="AF1557"/>
  <c r="AS1557"/>
  <c r="AT1557" s="1"/>
  <c r="AG1557"/>
  <c r="I426"/>
  <c r="AP426"/>
  <c r="AQ426" s="1"/>
  <c r="BM413"/>
  <c r="I428"/>
  <c r="AR428"/>
  <c r="AS428"/>
  <c r="AT428" s="1"/>
  <c r="AR430"/>
  <c r="I430"/>
  <c r="AO430"/>
  <c r="AQ430" s="1"/>
  <c r="AS430" s="1"/>
  <c r="AT430" s="1"/>
  <c r="AS427"/>
  <c r="AT427" s="1"/>
  <c r="I427"/>
  <c r="AR427"/>
  <c r="AV727"/>
  <c r="K727"/>
  <c r="AS727"/>
  <c r="AT727" s="1"/>
  <c r="AW727"/>
  <c r="BR710"/>
  <c r="AZ728"/>
  <c r="AZ727"/>
  <c r="BD482"/>
  <c r="BE482"/>
  <c r="BE1157"/>
  <c r="BD1157"/>
  <c r="AC1564"/>
  <c r="AH423"/>
  <c r="AC1560"/>
  <c r="AC1559"/>
  <c r="BE1590"/>
  <c r="BD1590"/>
  <c r="AV1614"/>
  <c r="AW1614"/>
  <c r="K1614"/>
  <c r="M1614" s="1"/>
  <c r="AS1614"/>
  <c r="AT1614" s="1"/>
  <c r="BM1088"/>
  <c r="AP1101"/>
  <c r="AQ1101" s="1"/>
  <c r="I1101"/>
  <c r="BQ1088"/>
  <c r="I1104"/>
  <c r="AP1104"/>
  <c r="AQ1104" s="1"/>
  <c r="AZ1105"/>
  <c r="BR1088"/>
  <c r="AZ1106"/>
  <c r="AW1105"/>
  <c r="K1105"/>
  <c r="M1105" s="1"/>
  <c r="AV1105"/>
  <c r="BE780"/>
  <c r="BD780"/>
  <c r="AX1397"/>
  <c r="AP1397"/>
  <c r="AQ1397" s="1"/>
  <c r="BK1385"/>
  <c r="K1587"/>
  <c r="M1587" s="1"/>
  <c r="AW1587"/>
  <c r="AV1587"/>
  <c r="AS1587"/>
  <c r="AT1587" s="1"/>
  <c r="BE1589"/>
  <c r="BD1589"/>
  <c r="BL1088"/>
  <c r="BC1103"/>
  <c r="BC1104"/>
  <c r="AW1106"/>
  <c r="K1106"/>
  <c r="M1106" s="1"/>
  <c r="AV1106"/>
  <c r="I1100"/>
  <c r="AJ1100"/>
  <c r="AX1100" s="1"/>
  <c r="AL38" i="46"/>
  <c r="AL39" s="1"/>
  <c r="AL53" s="1"/>
  <c r="AL54" s="1"/>
  <c r="AL37"/>
  <c r="BE779" i="50"/>
  <c r="BD779"/>
  <c r="BE1616"/>
  <c r="BD1616"/>
  <c r="AX1104"/>
  <c r="BI1088"/>
  <c r="AZ1102"/>
  <c r="M1102" s="1"/>
  <c r="BN1088"/>
  <c r="AW1102"/>
  <c r="BO1088"/>
  <c r="AZ1103"/>
  <c r="M1103" s="1"/>
  <c r="AW1103"/>
  <c r="AV1911"/>
  <c r="AW1911"/>
  <c r="K1911"/>
  <c r="M1911" s="1"/>
  <c r="AS1911"/>
  <c r="AT1911" s="1"/>
  <c r="BE1913"/>
  <c r="BD1913"/>
  <c r="C611" i="52"/>
  <c r="O563"/>
  <c r="Q563" s="1"/>
  <c r="AS1105" i="50"/>
  <c r="AT1105" s="1"/>
  <c r="M1915"/>
  <c r="M458"/>
  <c r="BE1617"/>
  <c r="BD1617"/>
  <c r="AX1505"/>
  <c r="AP1505"/>
  <c r="AQ1505" s="1"/>
  <c r="BK1493"/>
  <c r="C562" i="52"/>
  <c r="O514"/>
  <c r="Q514" s="1"/>
  <c r="BD1914" i="50"/>
  <c r="BE1914"/>
  <c r="AP1019"/>
  <c r="AQ1019" s="1"/>
  <c r="AX1019"/>
  <c r="BK1007"/>
  <c r="BE1050" l="1"/>
  <c r="BD1050"/>
  <c r="AG1883"/>
  <c r="AN1883"/>
  <c r="AF1883"/>
  <c r="AI1883"/>
  <c r="AO1883"/>
  <c r="AR1883"/>
  <c r="BJ1871" s="1"/>
  <c r="AF1698"/>
  <c r="AJ1698"/>
  <c r="AR1698"/>
  <c r="BP1682" s="1"/>
  <c r="AG1698"/>
  <c r="AN1698"/>
  <c r="AO1698"/>
  <c r="AG1887"/>
  <c r="AO1887"/>
  <c r="AN1887"/>
  <c r="AJ1887"/>
  <c r="AR1887"/>
  <c r="BP1871" s="1"/>
  <c r="AF1887"/>
  <c r="AO2051"/>
  <c r="AQ2051" s="1"/>
  <c r="I2051"/>
  <c r="AR2051"/>
  <c r="BS2033" s="1"/>
  <c r="AO1376"/>
  <c r="AQ1376" s="1"/>
  <c r="AR1376"/>
  <c r="BS1358" s="1"/>
  <c r="I1376"/>
  <c r="I1373"/>
  <c r="AR1373"/>
  <c r="AS1373"/>
  <c r="AT1373" s="1"/>
  <c r="AC1374"/>
  <c r="AI1368"/>
  <c r="AG1368"/>
  <c r="AF1368"/>
  <c r="AS1368"/>
  <c r="AT1368" s="1"/>
  <c r="AC1289"/>
  <c r="AI1287"/>
  <c r="AG1287"/>
  <c r="AS1287"/>
  <c r="AT1287" s="1"/>
  <c r="AF1287"/>
  <c r="AH1287" s="1"/>
  <c r="AF1074"/>
  <c r="AG1074"/>
  <c r="AR1074"/>
  <c r="AJ1074"/>
  <c r="AN1074"/>
  <c r="AO1074"/>
  <c r="I1078"/>
  <c r="AO1078"/>
  <c r="AQ1078" s="1"/>
  <c r="AR1078"/>
  <c r="AS1078"/>
  <c r="AT1078" s="1"/>
  <c r="AJ1071"/>
  <c r="I1071"/>
  <c r="AR1696"/>
  <c r="AS1696"/>
  <c r="AT1696" s="1"/>
  <c r="I1696"/>
  <c r="AR1694"/>
  <c r="BJ1682" s="1"/>
  <c r="AF1694"/>
  <c r="AO1694"/>
  <c r="AG1694"/>
  <c r="AN1694"/>
  <c r="AI1694"/>
  <c r="I1692"/>
  <c r="AJ1692"/>
  <c r="O596" i="52"/>
  <c r="Q596" s="1"/>
  <c r="C644"/>
  <c r="O644" s="1"/>
  <c r="Q644" s="1"/>
  <c r="AW344" i="50"/>
  <c r="AV344"/>
  <c r="K344"/>
  <c r="M344" s="1"/>
  <c r="AS344"/>
  <c r="AT344" s="1"/>
  <c r="Y101"/>
  <c r="Y102"/>
  <c r="BZ94"/>
  <c r="Y99"/>
  <c r="AC94"/>
  <c r="E92"/>
  <c r="V76"/>
  <c r="V77" s="1"/>
  <c r="V78" s="1"/>
  <c r="V79" s="1"/>
  <c r="AJ1748"/>
  <c r="I1748"/>
  <c r="AC2047"/>
  <c r="AG2043"/>
  <c r="AI2043"/>
  <c r="AF2043"/>
  <c r="AH2043" s="1"/>
  <c r="AS2043"/>
  <c r="AT2043" s="1"/>
  <c r="BZ2051"/>
  <c r="BZ2053"/>
  <c r="BH1277"/>
  <c r="BZ1295"/>
  <c r="BZ1297"/>
  <c r="I1753"/>
  <c r="AO1753"/>
  <c r="AQ1753" s="1"/>
  <c r="AR1753"/>
  <c r="AS1753"/>
  <c r="AT1753" s="1"/>
  <c r="AR1754"/>
  <c r="BS1736" s="1"/>
  <c r="I1754"/>
  <c r="AO1754"/>
  <c r="AQ1754" s="1"/>
  <c r="AW1751"/>
  <c r="AZ1751"/>
  <c r="M1751" s="1"/>
  <c r="BO1736"/>
  <c r="I369"/>
  <c r="AJ369"/>
  <c r="AF372"/>
  <c r="AR372"/>
  <c r="AO372"/>
  <c r="AG372"/>
  <c r="AN372"/>
  <c r="AJ372"/>
  <c r="AO376"/>
  <c r="AQ376" s="1"/>
  <c r="I376"/>
  <c r="AR376"/>
  <c r="AW1051"/>
  <c r="K1051"/>
  <c r="AV1051"/>
  <c r="E65"/>
  <c r="Y75"/>
  <c r="AC67"/>
  <c r="Y72"/>
  <c r="Y74"/>
  <c r="BZ67"/>
  <c r="BL1736"/>
  <c r="BS1601"/>
  <c r="AZ1619"/>
  <c r="AZ1618"/>
  <c r="M1618" s="1"/>
  <c r="AO1889"/>
  <c r="AQ1889" s="1"/>
  <c r="I1889"/>
  <c r="AR1889"/>
  <c r="BS1871" s="1"/>
  <c r="AR1885"/>
  <c r="I1885"/>
  <c r="AS1885"/>
  <c r="AT1885" s="1"/>
  <c r="AS1699"/>
  <c r="AT1699" s="1"/>
  <c r="K1699"/>
  <c r="M1699" s="1"/>
  <c r="AV1699"/>
  <c r="AW1699"/>
  <c r="AZ1697"/>
  <c r="M1697" s="1"/>
  <c r="BO1682"/>
  <c r="AW1697"/>
  <c r="BN359"/>
  <c r="AZ373"/>
  <c r="M373" s="1"/>
  <c r="AW373"/>
  <c r="AP1047"/>
  <c r="AQ1047" s="1"/>
  <c r="BM1034"/>
  <c r="I1047"/>
  <c r="I1673"/>
  <c r="AO1673"/>
  <c r="AQ1673" s="1"/>
  <c r="AR1673"/>
  <c r="BS1655" s="1"/>
  <c r="AS1673"/>
  <c r="AT1673" s="1"/>
  <c r="I1669"/>
  <c r="AR1669"/>
  <c r="AS1669"/>
  <c r="AT1669" s="1"/>
  <c r="AF1668"/>
  <c r="AG1668"/>
  <c r="AR1668"/>
  <c r="AO1668"/>
  <c r="AN1668"/>
  <c r="AJ1668"/>
  <c r="I1670"/>
  <c r="AR1670"/>
  <c r="AS1670"/>
  <c r="AT1670" s="1"/>
  <c r="BR1655"/>
  <c r="AZ1673"/>
  <c r="M404"/>
  <c r="AR1240"/>
  <c r="M565"/>
  <c r="BZ1372"/>
  <c r="BZ1375"/>
  <c r="AC1375"/>
  <c r="AC1293"/>
  <c r="AF228" i="58"/>
  <c r="AG228" s="1"/>
  <c r="Z102" i="50"/>
  <c r="AF199" i="58"/>
  <c r="AG199" s="1"/>
  <c r="AC2050" i="50"/>
  <c r="BZ1374"/>
  <c r="BZ1371"/>
  <c r="AC1370"/>
  <c r="AC1295"/>
  <c r="AC1291"/>
  <c r="AH1746"/>
  <c r="Z75"/>
  <c r="AR1888"/>
  <c r="AO1888"/>
  <c r="AQ1888" s="1"/>
  <c r="I1888"/>
  <c r="AI1667"/>
  <c r="AR1667"/>
  <c r="BJ1655" s="1"/>
  <c r="AG1667"/>
  <c r="AF1667"/>
  <c r="AN1667"/>
  <c r="AO1667"/>
  <c r="AF2049"/>
  <c r="AJ2049"/>
  <c r="AR2049"/>
  <c r="BP2033" s="1"/>
  <c r="AO2049"/>
  <c r="AN2049"/>
  <c r="AG2049"/>
  <c r="AF2046"/>
  <c r="AN2046"/>
  <c r="AG2046"/>
  <c r="AJ2046"/>
  <c r="AR2046"/>
  <c r="BL2033" s="1"/>
  <c r="AO2046"/>
  <c r="AI2045"/>
  <c r="AF2045"/>
  <c r="AR2045"/>
  <c r="BJ2033" s="1"/>
  <c r="AN2045"/>
  <c r="AG2045"/>
  <c r="AO2045"/>
  <c r="AR2048"/>
  <c r="AS2048"/>
  <c r="AT2048" s="1"/>
  <c r="I2048"/>
  <c r="I1372"/>
  <c r="AR1372"/>
  <c r="AS1372"/>
  <c r="AT1372" s="1"/>
  <c r="BH1358"/>
  <c r="BZ1382"/>
  <c r="BZ1380"/>
  <c r="I1294"/>
  <c r="AR1294"/>
  <c r="AO1294"/>
  <c r="AQ1294" s="1"/>
  <c r="AS1294"/>
  <c r="AT1294" s="1"/>
  <c r="AG1290"/>
  <c r="AF1290"/>
  <c r="AO1290"/>
  <c r="AR1290"/>
  <c r="BL1277" s="1"/>
  <c r="AN1290"/>
  <c r="AJ1290"/>
  <c r="H2094"/>
  <c r="H72" i="62" s="1"/>
  <c r="I2129" i="50"/>
  <c r="I107" i="62" s="1"/>
  <c r="I2153" i="50"/>
  <c r="I131" i="62" s="1"/>
  <c r="I2157" i="50"/>
  <c r="I135" i="62" s="1"/>
  <c r="I2139" i="50"/>
  <c r="I117" i="62" s="1"/>
  <c r="I2152" i="50"/>
  <c r="I130" i="62" s="1"/>
  <c r="I2127" i="50"/>
  <c r="I105" i="62" s="1"/>
  <c r="M2092" i="50"/>
  <c r="I2142"/>
  <c r="I120" i="62" s="1"/>
  <c r="I2099" i="50"/>
  <c r="I77" i="62" s="1"/>
  <c r="I2136" i="50"/>
  <c r="I114" i="62" s="1"/>
  <c r="I2143" i="50"/>
  <c r="I121" i="62" s="1"/>
  <c r="I2097" i="50"/>
  <c r="I75" i="62" s="1"/>
  <c r="I2160" i="50"/>
  <c r="I138" i="62" s="1"/>
  <c r="I2150" i="50"/>
  <c r="I128" i="62" s="1"/>
  <c r="I2123" i="50"/>
  <c r="I101" i="62" s="1"/>
  <c r="I2102" i="50"/>
  <c r="I80" i="62" s="1"/>
  <c r="I2096" i="50"/>
  <c r="I74" i="62" s="1"/>
  <c r="I2106" i="50"/>
  <c r="I84" i="62" s="1"/>
  <c r="I2154" i="50"/>
  <c r="I132" i="62" s="1"/>
  <c r="H71"/>
  <c r="M70" s="1"/>
  <c r="I2107" i="50"/>
  <c r="I85" i="62" s="1"/>
  <c r="I2109" i="50"/>
  <c r="I87" i="62" s="1"/>
  <c r="I2104" i="50"/>
  <c r="I82" i="62" s="1"/>
  <c r="I2120" i="50"/>
  <c r="I98" i="62" s="1"/>
  <c r="I2145" i="50"/>
  <c r="I123" i="62" s="1"/>
  <c r="I2095" i="50"/>
  <c r="I73" i="62" s="1"/>
  <c r="I2165" i="50"/>
  <c r="I143" i="62" s="1"/>
  <c r="I2093" i="50"/>
  <c r="I71" i="62" s="1"/>
  <c r="I2163" i="50"/>
  <c r="I141" i="62" s="1"/>
  <c r="I2124" i="50"/>
  <c r="I102" i="62" s="1"/>
  <c r="I2130" i="50"/>
  <c r="I108" i="62" s="1"/>
  <c r="I2144" i="50"/>
  <c r="I122" i="62" s="1"/>
  <c r="I2138" i="50"/>
  <c r="I116" i="62" s="1"/>
  <c r="I2166" i="50"/>
  <c r="I144" i="62" s="1"/>
  <c r="I2092" i="50"/>
  <c r="I70" i="62" s="1"/>
  <c r="I2100" i="50"/>
  <c r="I78" i="62" s="1"/>
  <c r="I2103" i="50"/>
  <c r="I81" i="62" s="1"/>
  <c r="I2125" i="50"/>
  <c r="I103" i="62" s="1"/>
  <c r="I2141" i="50"/>
  <c r="I119" i="62" s="1"/>
  <c r="I1076" i="50"/>
  <c r="AS1076"/>
  <c r="AT1076" s="1"/>
  <c r="AR1076"/>
  <c r="AG1073"/>
  <c r="AI1073"/>
  <c r="AO1073"/>
  <c r="AF1073"/>
  <c r="AN1073"/>
  <c r="AR1073"/>
  <c r="BJ1061" s="1"/>
  <c r="I1079"/>
  <c r="AR1079"/>
  <c r="BS1061" s="1"/>
  <c r="AO1079"/>
  <c r="AQ1079" s="1"/>
  <c r="I1075"/>
  <c r="AS1075"/>
  <c r="AT1075" s="1"/>
  <c r="AR1075"/>
  <c r="AF1077"/>
  <c r="AO1077"/>
  <c r="AR1077"/>
  <c r="BP1061" s="1"/>
  <c r="AG1077"/>
  <c r="AJ1077"/>
  <c r="AN1077"/>
  <c r="BQ521"/>
  <c r="AP537"/>
  <c r="AQ537" s="1"/>
  <c r="AX537"/>
  <c r="I537"/>
  <c r="C526" i="52"/>
  <c r="O478"/>
  <c r="Q478" s="1"/>
  <c r="AR1700" i="50"/>
  <c r="BS1682" s="1"/>
  <c r="I1700"/>
  <c r="AO1700"/>
  <c r="AQ1700" s="1"/>
  <c r="AN1695"/>
  <c r="AR1695"/>
  <c r="AF1695"/>
  <c r="AO1695"/>
  <c r="AG1695"/>
  <c r="AJ1695"/>
  <c r="AJ1046"/>
  <c r="I1046"/>
  <c r="G101"/>
  <c r="AA101"/>
  <c r="BE102"/>
  <c r="BD101"/>
  <c r="BD102"/>
  <c r="AK101"/>
  <c r="AK99"/>
  <c r="Q98"/>
  <c r="BA5" i="61"/>
  <c r="G5" s="1"/>
  <c r="BD103" i="50"/>
  <c r="Q89"/>
  <c r="Q99"/>
  <c r="BE103"/>
  <c r="Q92"/>
  <c r="Q90"/>
  <c r="BE101"/>
  <c r="AW374"/>
  <c r="AZ374"/>
  <c r="M374" s="1"/>
  <c r="BO359"/>
  <c r="C305"/>
  <c r="BA12" i="61"/>
  <c r="BH2033" i="50"/>
  <c r="AE360" i="58"/>
  <c r="AZ346" s="1"/>
  <c r="AC360"/>
  <c r="AD360" s="1"/>
  <c r="K360" s="1"/>
  <c r="M360" s="1"/>
  <c r="AR1752" i="50"/>
  <c r="BP1736" s="1"/>
  <c r="AF1752"/>
  <c r="AN1752"/>
  <c r="AG1752"/>
  <c r="AJ1752"/>
  <c r="AO1752"/>
  <c r="AR1750"/>
  <c r="AS1750"/>
  <c r="AT1750" s="1"/>
  <c r="I1750"/>
  <c r="AJ1746"/>
  <c r="I1746"/>
  <c r="I218" i="38"/>
  <c r="I206"/>
  <c r="I213"/>
  <c r="I204"/>
  <c r="I202"/>
  <c r="I208"/>
  <c r="I220"/>
  <c r="I215"/>
  <c r="I212"/>
  <c r="I216"/>
  <c r="I193"/>
  <c r="I223"/>
  <c r="I197"/>
  <c r="I192"/>
  <c r="I189"/>
  <c r="I211"/>
  <c r="I198"/>
  <c r="I201"/>
  <c r="I196"/>
  <c r="I190"/>
  <c r="I222"/>
  <c r="I205"/>
  <c r="I207"/>
  <c r="I219"/>
  <c r="I214"/>
  <c r="I210"/>
  <c r="I217"/>
  <c r="I194"/>
  <c r="I195"/>
  <c r="I203"/>
  <c r="M182"/>
  <c r="I200"/>
  <c r="I209"/>
  <c r="I199"/>
  <c r="I221"/>
  <c r="I191"/>
  <c r="AO377" i="50"/>
  <c r="AQ377" s="1"/>
  <c r="I377"/>
  <c r="AR377"/>
  <c r="BS359" s="1"/>
  <c r="AN371"/>
  <c r="AI371"/>
  <c r="AR371"/>
  <c r="BJ359" s="1"/>
  <c r="AF371"/>
  <c r="AO371"/>
  <c r="AG371"/>
  <c r="AZ1051"/>
  <c r="BR1034"/>
  <c r="AZ1052"/>
  <c r="M1052" s="1"/>
  <c r="Q72"/>
  <c r="Q71"/>
  <c r="AK72"/>
  <c r="Q63"/>
  <c r="Q62"/>
  <c r="Q65"/>
  <c r="BD76"/>
  <c r="BE75"/>
  <c r="BD75"/>
  <c r="BE76"/>
  <c r="BE74"/>
  <c r="AK74"/>
  <c r="BA4" i="61"/>
  <c r="BD74" i="50"/>
  <c r="I393" i="58"/>
  <c r="I392"/>
  <c r="I386"/>
  <c r="I388"/>
  <c r="I390"/>
  <c r="I384"/>
  <c r="I389"/>
  <c r="M384"/>
  <c r="I385"/>
  <c r="I387"/>
  <c r="I391"/>
  <c r="AC232"/>
  <c r="AD232" s="1"/>
  <c r="K232" s="1"/>
  <c r="M232" s="1"/>
  <c r="AE232"/>
  <c r="AZ218" s="1"/>
  <c r="AF232"/>
  <c r="AG232" s="1"/>
  <c r="BM1736" i="50"/>
  <c r="AP1749"/>
  <c r="AQ1749" s="1"/>
  <c r="I1749"/>
  <c r="K1619"/>
  <c r="M1619" s="1"/>
  <c r="AV1619"/>
  <c r="AW1619"/>
  <c r="AJ533"/>
  <c r="I533"/>
  <c r="AR1886"/>
  <c r="AS1886"/>
  <c r="AT1886" s="1"/>
  <c r="I1886"/>
  <c r="AJ1881"/>
  <c r="I1881"/>
  <c r="AN1884"/>
  <c r="AF1884"/>
  <c r="AG1884"/>
  <c r="AJ1884"/>
  <c r="AO1884"/>
  <c r="AR1884"/>
  <c r="BC1697"/>
  <c r="BR1682"/>
  <c r="AZ1700"/>
  <c r="AZ1699"/>
  <c r="AP375"/>
  <c r="AQ375" s="1"/>
  <c r="BQ359"/>
  <c r="I375"/>
  <c r="AO1671"/>
  <c r="AN1671"/>
  <c r="AR1671"/>
  <c r="BP1655" s="1"/>
  <c r="AF1671"/>
  <c r="AJ1671"/>
  <c r="AG1671"/>
  <c r="AJ1665"/>
  <c r="I1665"/>
  <c r="AW1672"/>
  <c r="AV1672"/>
  <c r="K1672"/>
  <c r="AP1071"/>
  <c r="AC1371"/>
  <c r="BZ1370"/>
  <c r="AC1292"/>
  <c r="AP369"/>
  <c r="BC1049"/>
  <c r="Z74"/>
  <c r="AP1881"/>
  <c r="AP1665"/>
  <c r="BZ123"/>
  <c r="BZ126"/>
  <c r="BZ136" s="1"/>
  <c r="M126"/>
  <c r="AR126"/>
  <c r="BH116" s="1"/>
  <c r="F6" i="61" s="1"/>
  <c r="AC126" i="50"/>
  <c r="AC123"/>
  <c r="U6" i="61"/>
  <c r="O6"/>
  <c r="E6"/>
  <c r="Q6"/>
  <c r="D6"/>
  <c r="S6"/>
  <c r="AY129" i="50"/>
  <c r="AC129"/>
  <c r="BZ129"/>
  <c r="AY128"/>
  <c r="AC128"/>
  <c r="BZ128"/>
  <c r="AV641"/>
  <c r="AW641"/>
  <c r="K641"/>
  <c r="M641" s="1"/>
  <c r="AS641"/>
  <c r="AT641" s="1"/>
  <c r="AV645"/>
  <c r="AW645"/>
  <c r="K645"/>
  <c r="M645" s="1"/>
  <c r="AS645"/>
  <c r="AT645" s="1"/>
  <c r="AR1184"/>
  <c r="AS1184"/>
  <c r="AT1184" s="1"/>
  <c r="I1184"/>
  <c r="I1179"/>
  <c r="AJ1179"/>
  <c r="I1183"/>
  <c r="AS1183"/>
  <c r="AT1183" s="1"/>
  <c r="AR1183"/>
  <c r="AO1187"/>
  <c r="AQ1187" s="1"/>
  <c r="I1187"/>
  <c r="AR1187"/>
  <c r="BS1169" s="1"/>
  <c r="AS1187"/>
  <c r="AT1187" s="1"/>
  <c r="AP1185"/>
  <c r="AQ1185" s="1"/>
  <c r="BQ1169"/>
  <c r="I1185"/>
  <c r="AN1181"/>
  <c r="AG1181"/>
  <c r="AR1181"/>
  <c r="BJ1169" s="1"/>
  <c r="AF1181"/>
  <c r="AI1181"/>
  <c r="AO1181"/>
  <c r="AO1186"/>
  <c r="AQ1186" s="1"/>
  <c r="AS1186" s="1"/>
  <c r="AT1186" s="1"/>
  <c r="I1186"/>
  <c r="AR1186"/>
  <c r="BC1184" s="1"/>
  <c r="BL1169"/>
  <c r="BC1185"/>
  <c r="BM1169"/>
  <c r="I1182"/>
  <c r="AP1182"/>
  <c r="AQ1182" s="1"/>
  <c r="AH1179"/>
  <c r="AP1179" s="1"/>
  <c r="I1322"/>
  <c r="AO1322"/>
  <c r="AQ1322" s="1"/>
  <c r="AR1322"/>
  <c r="BS1304" s="1"/>
  <c r="AO1321"/>
  <c r="AQ1321" s="1"/>
  <c r="AR1321"/>
  <c r="I1321"/>
  <c r="AG1316"/>
  <c r="AN1316"/>
  <c r="AF1316"/>
  <c r="AI1316"/>
  <c r="AO1316"/>
  <c r="AR1316"/>
  <c r="BJ1304" s="1"/>
  <c r="AO1317"/>
  <c r="AR1317"/>
  <c r="AJ1317"/>
  <c r="AN1317"/>
  <c r="AF1317"/>
  <c r="AG1317"/>
  <c r="AR1319"/>
  <c r="I1319"/>
  <c r="AS1319"/>
  <c r="AT1319" s="1"/>
  <c r="AR1318"/>
  <c r="I1318"/>
  <c r="AS1318"/>
  <c r="AT1318" s="1"/>
  <c r="AO1320"/>
  <c r="AR1320"/>
  <c r="BP1304" s="1"/>
  <c r="AJ1320"/>
  <c r="AN1320"/>
  <c r="AF1320"/>
  <c r="AG1320"/>
  <c r="AJ1314"/>
  <c r="I1314"/>
  <c r="AP1314"/>
  <c r="AJ128"/>
  <c r="I128"/>
  <c r="V134"/>
  <c r="W134" s="1"/>
  <c r="W133"/>
  <c r="W106"/>
  <c r="Y106" s="1"/>
  <c r="V107"/>
  <c r="W107" s="1"/>
  <c r="Y107" s="1"/>
  <c r="AH153"/>
  <c r="AP153" s="1"/>
  <c r="AR158"/>
  <c r="I158"/>
  <c r="AS158"/>
  <c r="AT158" s="1"/>
  <c r="I156"/>
  <c r="BM143"/>
  <c r="AP156"/>
  <c r="AQ156" s="1"/>
  <c r="AO160"/>
  <c r="AQ160" s="1"/>
  <c r="AS160" s="1"/>
  <c r="AT160" s="1"/>
  <c r="AR160"/>
  <c r="I160"/>
  <c r="I153"/>
  <c r="AJ153"/>
  <c r="AW157"/>
  <c r="BN143"/>
  <c r="AZ157"/>
  <c r="M157" s="1"/>
  <c r="AW161"/>
  <c r="AV161"/>
  <c r="K161"/>
  <c r="AJ155"/>
  <c r="I155"/>
  <c r="I159"/>
  <c r="BQ143"/>
  <c r="AP159"/>
  <c r="AQ159" s="1"/>
  <c r="K1127"/>
  <c r="M1127" s="1"/>
  <c r="AS1127"/>
  <c r="AT1127" s="1"/>
  <c r="AW1127"/>
  <c r="AV1127"/>
  <c r="AP423"/>
  <c r="M403"/>
  <c r="AV857"/>
  <c r="AW857"/>
  <c r="K857"/>
  <c r="M857" s="1"/>
  <c r="AS857"/>
  <c r="AT857" s="1"/>
  <c r="AW1208"/>
  <c r="AV1208"/>
  <c r="AS1208"/>
  <c r="AT1208" s="1"/>
  <c r="K1208"/>
  <c r="M1208" s="1"/>
  <c r="K317"/>
  <c r="M317" s="1"/>
  <c r="AW317"/>
  <c r="AS317"/>
  <c r="AT317" s="1"/>
  <c r="AV317"/>
  <c r="K965"/>
  <c r="M965" s="1"/>
  <c r="AV965"/>
  <c r="AS965"/>
  <c r="AT965" s="1"/>
  <c r="AW965"/>
  <c r="K74"/>
  <c r="AV884"/>
  <c r="K884"/>
  <c r="M884" s="1"/>
  <c r="AS884"/>
  <c r="AT884" s="1"/>
  <c r="AW884"/>
  <c r="AS776"/>
  <c r="AT776" s="1"/>
  <c r="K776"/>
  <c r="M776" s="1"/>
  <c r="AV776"/>
  <c r="AW776"/>
  <c r="AV1937"/>
  <c r="K1937"/>
  <c r="M1937" s="1"/>
  <c r="AS1937"/>
  <c r="AT1937" s="1"/>
  <c r="AW1937"/>
  <c r="AS1424"/>
  <c r="AT1424" s="1"/>
  <c r="K1424"/>
  <c r="M1424" s="1"/>
  <c r="AV1424"/>
  <c r="AW1424"/>
  <c r="BE563"/>
  <c r="BD563"/>
  <c r="BE564"/>
  <c r="BD564"/>
  <c r="K561"/>
  <c r="M561" s="1"/>
  <c r="AV561"/>
  <c r="AW561"/>
  <c r="AS561"/>
  <c r="AT561" s="1"/>
  <c r="AW564"/>
  <c r="AV564"/>
  <c r="K564"/>
  <c r="M564" s="1"/>
  <c r="AS564"/>
  <c r="AT564" s="1"/>
  <c r="AH1530"/>
  <c r="I1241"/>
  <c r="AR1241"/>
  <c r="BS1223" s="1"/>
  <c r="AO1241"/>
  <c r="AQ1241" s="1"/>
  <c r="AX398"/>
  <c r="AP398"/>
  <c r="AQ398" s="1"/>
  <c r="BK386"/>
  <c r="AS402"/>
  <c r="AT402" s="1"/>
  <c r="AV402"/>
  <c r="AW402"/>
  <c r="K402"/>
  <c r="M402" s="1"/>
  <c r="AJ803"/>
  <c r="I803"/>
  <c r="AR1235"/>
  <c r="BJ1223" s="1"/>
  <c r="AO1235"/>
  <c r="AG1235"/>
  <c r="AN1235"/>
  <c r="AI1235"/>
  <c r="AF1235"/>
  <c r="I808"/>
  <c r="AO808"/>
  <c r="AQ808" s="1"/>
  <c r="AR808"/>
  <c r="AS808"/>
  <c r="AT808" s="1"/>
  <c r="BZ1245"/>
  <c r="BZ1247"/>
  <c r="BO791"/>
  <c r="AZ806"/>
  <c r="M806" s="1"/>
  <c r="AW806"/>
  <c r="AZ1237"/>
  <c r="M1237" s="1"/>
  <c r="AW1237"/>
  <c r="BN1223"/>
  <c r="BR1223"/>
  <c r="AZ1240"/>
  <c r="AZ1241"/>
  <c r="AW1240"/>
  <c r="AV1240"/>
  <c r="K1240"/>
  <c r="M1240" s="1"/>
  <c r="AZ805"/>
  <c r="M805" s="1"/>
  <c r="AW805"/>
  <c r="BN791"/>
  <c r="AH1233"/>
  <c r="AS777"/>
  <c r="AT777" s="1"/>
  <c r="AV777"/>
  <c r="K777"/>
  <c r="M777" s="1"/>
  <c r="AW777"/>
  <c r="BZ815"/>
  <c r="BZ813"/>
  <c r="AP807"/>
  <c r="AQ807" s="1"/>
  <c r="BQ791"/>
  <c r="I807"/>
  <c r="BD401"/>
  <c r="BE401"/>
  <c r="K399"/>
  <c r="M399" s="1"/>
  <c r="AW399"/>
  <c r="AS399"/>
  <c r="AT399" s="1"/>
  <c r="AV399"/>
  <c r="BO1223"/>
  <c r="AW1238"/>
  <c r="AZ1238"/>
  <c r="M1238" s="1"/>
  <c r="I804"/>
  <c r="AP804"/>
  <c r="AQ804" s="1"/>
  <c r="BM791"/>
  <c r="AV809"/>
  <c r="AW809"/>
  <c r="K809"/>
  <c r="AJ1239"/>
  <c r="AN1239"/>
  <c r="AF1239"/>
  <c r="AO1239"/>
  <c r="AR1239"/>
  <c r="BP1223" s="1"/>
  <c r="AG1239"/>
  <c r="I801"/>
  <c r="AJ801"/>
  <c r="AJ1233"/>
  <c r="I1233"/>
  <c r="AR1236"/>
  <c r="AJ1236"/>
  <c r="AF1236"/>
  <c r="AG1236"/>
  <c r="AN1236"/>
  <c r="AO1236"/>
  <c r="BE402"/>
  <c r="BD402"/>
  <c r="AH801"/>
  <c r="AR1776"/>
  <c r="AN1776"/>
  <c r="AF1776"/>
  <c r="AO1776"/>
  <c r="AJ1776"/>
  <c r="AG1776"/>
  <c r="AR1535"/>
  <c r="AS1535"/>
  <c r="AT1535" s="1"/>
  <c r="I1535"/>
  <c r="AS1832"/>
  <c r="AR1832"/>
  <c r="AT1832"/>
  <c r="I1832"/>
  <c r="I1781"/>
  <c r="AO1781"/>
  <c r="AQ1781" s="1"/>
  <c r="AS1781" s="1"/>
  <c r="AT1781" s="1"/>
  <c r="AR1781"/>
  <c r="BS1763" s="1"/>
  <c r="AS590"/>
  <c r="AT590" s="1"/>
  <c r="I590"/>
  <c r="AR590"/>
  <c r="I1860"/>
  <c r="AP1860"/>
  <c r="AQ1860" s="1"/>
  <c r="BQ1844"/>
  <c r="BR1844"/>
  <c r="AZ1862"/>
  <c r="AZ1861"/>
  <c r="AS1835"/>
  <c r="AT1835" s="1"/>
  <c r="AW1835"/>
  <c r="AV1835"/>
  <c r="K1835"/>
  <c r="AX722"/>
  <c r="AP722"/>
  <c r="AQ722" s="1"/>
  <c r="BK710"/>
  <c r="I1530"/>
  <c r="AJ1530"/>
  <c r="AP1530" s="1"/>
  <c r="AR1779"/>
  <c r="BP1763" s="1"/>
  <c r="AN1779"/>
  <c r="AF1779"/>
  <c r="AG1779"/>
  <c r="AJ1779"/>
  <c r="AO1779"/>
  <c r="I1534"/>
  <c r="AR1534"/>
  <c r="AS1534"/>
  <c r="AT1534" s="1"/>
  <c r="AR591"/>
  <c r="BP575" s="1"/>
  <c r="AG591"/>
  <c r="AN591"/>
  <c r="AO591"/>
  <c r="AJ591"/>
  <c r="AF591"/>
  <c r="AR1538"/>
  <c r="BS1520" s="1"/>
  <c r="AO1538"/>
  <c r="AQ1538" s="1"/>
  <c r="I1538"/>
  <c r="BM1844"/>
  <c r="AP1857"/>
  <c r="AQ1857" s="1"/>
  <c r="I1857"/>
  <c r="BC1860"/>
  <c r="BL1844"/>
  <c r="BC1859"/>
  <c r="AW1862"/>
  <c r="K1862"/>
  <c r="M1862" s="1"/>
  <c r="AV1862"/>
  <c r="AX1860"/>
  <c r="BI1844"/>
  <c r="AJ1827"/>
  <c r="I1827"/>
  <c r="AR1834"/>
  <c r="BC1833" s="1"/>
  <c r="I1834"/>
  <c r="AO1834"/>
  <c r="AQ1834" s="1"/>
  <c r="BK1574"/>
  <c r="AP1586"/>
  <c r="AQ1586" s="1"/>
  <c r="AX1586"/>
  <c r="AJ1773"/>
  <c r="I1773"/>
  <c r="AW1777"/>
  <c r="BN1763"/>
  <c r="AZ1777"/>
  <c r="M1777" s="1"/>
  <c r="AZ1780"/>
  <c r="BR1763"/>
  <c r="AJ1829"/>
  <c r="I1829"/>
  <c r="I1536"/>
  <c r="AP1536"/>
  <c r="AQ1536" s="1"/>
  <c r="BQ1520"/>
  <c r="I587"/>
  <c r="AJ587"/>
  <c r="AH1827"/>
  <c r="AP1827" s="1"/>
  <c r="AN1532"/>
  <c r="AR1532"/>
  <c r="BJ1520" s="1"/>
  <c r="AO1532"/>
  <c r="AF1532"/>
  <c r="AG1532"/>
  <c r="AI1532"/>
  <c r="AG1533"/>
  <c r="AF1533"/>
  <c r="AO1533"/>
  <c r="AJ1533"/>
  <c r="AR1533"/>
  <c r="AN1533"/>
  <c r="AR588"/>
  <c r="AO588"/>
  <c r="AF588"/>
  <c r="AN588"/>
  <c r="AG588"/>
  <c r="AJ588"/>
  <c r="BN1844"/>
  <c r="AW1858"/>
  <c r="AZ1858"/>
  <c r="M1858" s="1"/>
  <c r="AJ1856"/>
  <c r="I1856"/>
  <c r="AV1861"/>
  <c r="K1861"/>
  <c r="M1861" s="1"/>
  <c r="AW1861"/>
  <c r="AV726"/>
  <c r="AW726"/>
  <c r="K726"/>
  <c r="M726" s="1"/>
  <c r="AS726"/>
  <c r="AT726" s="1"/>
  <c r="BZ1787"/>
  <c r="BZ1785"/>
  <c r="AP1830"/>
  <c r="AQ1830" s="1"/>
  <c r="BM1817"/>
  <c r="I1830"/>
  <c r="I1833"/>
  <c r="BQ1817"/>
  <c r="AP1833"/>
  <c r="AQ1833" s="1"/>
  <c r="I585"/>
  <c r="AJ585"/>
  <c r="AP585" s="1"/>
  <c r="I589"/>
  <c r="AS589"/>
  <c r="AT589" s="1"/>
  <c r="AR589"/>
  <c r="I1778"/>
  <c r="AS1778"/>
  <c r="AT1778" s="1"/>
  <c r="AR1778"/>
  <c r="I593"/>
  <c r="AO593"/>
  <c r="AQ593" s="1"/>
  <c r="AR593"/>
  <c r="BS575" s="1"/>
  <c r="AS593"/>
  <c r="AT593" s="1"/>
  <c r="AR1775"/>
  <c r="BJ1763" s="1"/>
  <c r="AF1775"/>
  <c r="AI1775"/>
  <c r="AO1775"/>
  <c r="AG1775"/>
  <c r="AN1775"/>
  <c r="AO592"/>
  <c r="AQ592" s="1"/>
  <c r="AR592"/>
  <c r="I592"/>
  <c r="BO1844"/>
  <c r="AW1859"/>
  <c r="AZ1859"/>
  <c r="M1859" s="1"/>
  <c r="AZ1831"/>
  <c r="M1831" s="1"/>
  <c r="AW1831"/>
  <c r="BN1817"/>
  <c r="K1780"/>
  <c r="AW1780"/>
  <c r="AV1780"/>
  <c r="BR1520"/>
  <c r="AZ1537"/>
  <c r="AV1537"/>
  <c r="K1537"/>
  <c r="AW1537"/>
  <c r="AS1862"/>
  <c r="AT1862" s="1"/>
  <c r="AH1773"/>
  <c r="BC1832"/>
  <c r="AJ1560"/>
  <c r="AO1560"/>
  <c r="AG1560"/>
  <c r="AN1560"/>
  <c r="AR1560"/>
  <c r="AF1560"/>
  <c r="AR1564"/>
  <c r="AO1564"/>
  <c r="AQ1564" s="1"/>
  <c r="I1564"/>
  <c r="AS1564"/>
  <c r="AT1564" s="1"/>
  <c r="AZ427"/>
  <c r="M427" s="1"/>
  <c r="AW427"/>
  <c r="BN413"/>
  <c r="AV430"/>
  <c r="K430"/>
  <c r="AW430"/>
  <c r="AZ431"/>
  <c r="AZ430"/>
  <c r="BR413"/>
  <c r="BO413"/>
  <c r="AZ428"/>
  <c r="M428" s="1"/>
  <c r="AW428"/>
  <c r="AV426"/>
  <c r="K426"/>
  <c r="M426" s="1"/>
  <c r="AW426"/>
  <c r="AS426"/>
  <c r="AT426" s="1"/>
  <c r="I1557"/>
  <c r="AJ1557"/>
  <c r="BE726"/>
  <c r="BD726"/>
  <c r="K560"/>
  <c r="M560" s="1"/>
  <c r="AS560"/>
  <c r="AT560" s="1"/>
  <c r="AW560"/>
  <c r="AV560"/>
  <c r="I1562"/>
  <c r="AR1562"/>
  <c r="AS1562"/>
  <c r="AT1562" s="1"/>
  <c r="AJ425"/>
  <c r="I425"/>
  <c r="BI413"/>
  <c r="AX429"/>
  <c r="AX425"/>
  <c r="AV431"/>
  <c r="K431"/>
  <c r="M431" s="1"/>
  <c r="AW431"/>
  <c r="K723"/>
  <c r="M723" s="1"/>
  <c r="AV723"/>
  <c r="AW723"/>
  <c r="AS723"/>
  <c r="AT723" s="1"/>
  <c r="K2076"/>
  <c r="M2076" s="1"/>
  <c r="AW2076"/>
  <c r="AV2076"/>
  <c r="AS2076"/>
  <c r="AT2076" s="1"/>
  <c r="I1563"/>
  <c r="AP1563"/>
  <c r="AQ1563" s="1"/>
  <c r="BQ1547"/>
  <c r="M727"/>
  <c r="AH1557"/>
  <c r="AP1557" s="1"/>
  <c r="M728"/>
  <c r="BC429"/>
  <c r="AF200" i="58"/>
  <c r="AG200" s="1"/>
  <c r="AN1559" i="50"/>
  <c r="AG1559"/>
  <c r="AR1559"/>
  <c r="BJ1547" s="1"/>
  <c r="AI1559"/>
  <c r="AF1559"/>
  <c r="AO1559"/>
  <c r="I1561"/>
  <c r="AR1561"/>
  <c r="AS1561"/>
  <c r="AT1561" s="1"/>
  <c r="BE725"/>
  <c r="BD725"/>
  <c r="AW2018"/>
  <c r="AV2018"/>
  <c r="K2018"/>
  <c r="M2018" s="1"/>
  <c r="AS2018"/>
  <c r="AT2018" s="1"/>
  <c r="AO1565"/>
  <c r="AQ1565" s="1"/>
  <c r="AS1565" s="1"/>
  <c r="AT1565" s="1"/>
  <c r="AR1565"/>
  <c r="BS1547" s="1"/>
  <c r="I1565"/>
  <c r="AP429"/>
  <c r="AQ429" s="1"/>
  <c r="I429"/>
  <c r="BQ413"/>
  <c r="BC428"/>
  <c r="AW1019"/>
  <c r="AV1019"/>
  <c r="K1019"/>
  <c r="M1019" s="1"/>
  <c r="AS1019"/>
  <c r="AT1019" s="1"/>
  <c r="O562" i="52"/>
  <c r="Q562" s="1"/>
  <c r="C610"/>
  <c r="AW1505" i="50"/>
  <c r="K1505"/>
  <c r="M1505" s="1"/>
  <c r="AS1505"/>
  <c r="AT1505" s="1"/>
  <c r="AV1505"/>
  <c r="BD1104"/>
  <c r="BE1104"/>
  <c r="C659" i="52"/>
  <c r="O659" s="1"/>
  <c r="Q659" s="1"/>
  <c r="O611"/>
  <c r="Q611" s="1"/>
  <c r="BK1088" i="50"/>
  <c r="AP1100"/>
  <c r="AQ1100" s="1"/>
  <c r="BD1103"/>
  <c r="BE1103"/>
  <c r="AV1397"/>
  <c r="AS1397"/>
  <c r="AT1397" s="1"/>
  <c r="K1397"/>
  <c r="M1397" s="1"/>
  <c r="AW1397"/>
  <c r="K1104"/>
  <c r="M1104" s="1"/>
  <c r="AW1104"/>
  <c r="AV1104"/>
  <c r="AS1104"/>
  <c r="AT1104" s="1"/>
  <c r="AV1101"/>
  <c r="K1101"/>
  <c r="M1101" s="1"/>
  <c r="AW1101"/>
  <c r="AS1101"/>
  <c r="AT1101" s="1"/>
  <c r="G74" l="1"/>
  <c r="AA74"/>
  <c r="BI1655"/>
  <c r="AX1671"/>
  <c r="AW375"/>
  <c r="K375"/>
  <c r="AV375"/>
  <c r="AS375"/>
  <c r="AT375" s="1"/>
  <c r="BD1697"/>
  <c r="BE1697"/>
  <c r="BL1871"/>
  <c r="BC1887"/>
  <c r="BC1886"/>
  <c r="AP1884"/>
  <c r="AQ1884" s="1"/>
  <c r="BM1871"/>
  <c r="I1884"/>
  <c r="AZ1886"/>
  <c r="M1886" s="1"/>
  <c r="BO1871"/>
  <c r="AW1886"/>
  <c r="AP533"/>
  <c r="AQ533" s="1"/>
  <c r="AX533"/>
  <c r="BK521"/>
  <c r="O4" i="61"/>
  <c r="D4"/>
  <c r="E4"/>
  <c r="Q4"/>
  <c r="U4"/>
  <c r="S4"/>
  <c r="K377" i="50"/>
  <c r="AW377"/>
  <c r="AV377"/>
  <c r="R72" i="38"/>
  <c r="N72" s="1"/>
  <c r="R71"/>
  <c r="N71" s="1"/>
  <c r="R73"/>
  <c r="N73" s="1"/>
  <c r="BI1736" i="50"/>
  <c r="AX1752"/>
  <c r="AU12" i="61"/>
  <c r="AX12"/>
  <c r="Q12"/>
  <c r="K12"/>
  <c r="T12"/>
  <c r="H12"/>
  <c r="F12"/>
  <c r="E12"/>
  <c r="AY12"/>
  <c r="G12"/>
  <c r="L12"/>
  <c r="P12"/>
  <c r="I12"/>
  <c r="AV12"/>
  <c r="M12"/>
  <c r="R12"/>
  <c r="D12"/>
  <c r="O12"/>
  <c r="N12"/>
  <c r="U12"/>
  <c r="J12"/>
  <c r="AW12"/>
  <c r="S12"/>
  <c r="C332" i="50"/>
  <c r="Y132"/>
  <c r="AW537"/>
  <c r="AV537"/>
  <c r="K537"/>
  <c r="M537" s="1"/>
  <c r="AS537"/>
  <c r="AT537" s="1"/>
  <c r="BN1061"/>
  <c r="AZ1075"/>
  <c r="M1075" s="1"/>
  <c r="AW1075"/>
  <c r="AW1079"/>
  <c r="K1079"/>
  <c r="AV1079"/>
  <c r="AJ1073"/>
  <c r="I1073"/>
  <c r="AW1076"/>
  <c r="AZ1076"/>
  <c r="M1076" s="1"/>
  <c r="BO1061"/>
  <c r="AZ1295"/>
  <c r="BR1277"/>
  <c r="AZ1372"/>
  <c r="M1372" s="1"/>
  <c r="AW1372"/>
  <c r="BN1358"/>
  <c r="BO2033"/>
  <c r="AZ2048"/>
  <c r="M2048" s="1"/>
  <c r="AW2048"/>
  <c r="AP2049"/>
  <c r="AQ2049" s="1"/>
  <c r="BQ2033"/>
  <c r="I2049"/>
  <c r="AZ1889"/>
  <c r="AZ1888"/>
  <c r="BR1871"/>
  <c r="I1295"/>
  <c r="AO1295"/>
  <c r="AQ1295" s="1"/>
  <c r="AR1295"/>
  <c r="BS1277" s="1"/>
  <c r="AS1295"/>
  <c r="AT1295" s="1"/>
  <c r="I2050"/>
  <c r="AO2050"/>
  <c r="AQ2050" s="1"/>
  <c r="AR2050"/>
  <c r="AS2050"/>
  <c r="AT2050" s="1"/>
  <c r="AG1293"/>
  <c r="AJ1293"/>
  <c r="AO1293"/>
  <c r="AF1293"/>
  <c r="AN1293"/>
  <c r="AR1293"/>
  <c r="BP1277" s="1"/>
  <c r="BM1655"/>
  <c r="AP1668"/>
  <c r="AQ1668" s="1"/>
  <c r="I1668"/>
  <c r="AW1885"/>
  <c r="BN1871"/>
  <c r="AZ1885"/>
  <c r="M1885" s="1"/>
  <c r="BZ69"/>
  <c r="BZ72"/>
  <c r="BZ82" s="1"/>
  <c r="AY74"/>
  <c r="BZ74"/>
  <c r="AR72"/>
  <c r="BH62" s="1"/>
  <c r="F4" i="61" s="1"/>
  <c r="M72" i="50"/>
  <c r="AY75"/>
  <c r="BZ75"/>
  <c r="BR359"/>
  <c r="AZ376"/>
  <c r="AZ377"/>
  <c r="M377" s="1"/>
  <c r="K376"/>
  <c r="M376" s="1"/>
  <c r="AW376"/>
  <c r="AV376"/>
  <c r="BM359"/>
  <c r="AP372"/>
  <c r="AQ372" s="1"/>
  <c r="I372"/>
  <c r="BC374"/>
  <c r="BL359"/>
  <c r="BC375"/>
  <c r="BI359"/>
  <c r="AX375"/>
  <c r="AV1754"/>
  <c r="AW1754"/>
  <c r="K1754"/>
  <c r="BR1736"/>
  <c r="AZ1753"/>
  <c r="AZ1754"/>
  <c r="BZ2055"/>
  <c r="BZ2057"/>
  <c r="AJ2043"/>
  <c r="I2043"/>
  <c r="I2047"/>
  <c r="AR2047"/>
  <c r="AS2047"/>
  <c r="AT2047" s="1"/>
  <c r="AX1748"/>
  <c r="AP1748"/>
  <c r="AQ1748" s="1"/>
  <c r="BK1736"/>
  <c r="AC96"/>
  <c r="AC99"/>
  <c r="BZ99"/>
  <c r="BZ109" s="1"/>
  <c r="BZ96"/>
  <c r="AY102"/>
  <c r="AC102"/>
  <c r="BZ102"/>
  <c r="BI1682"/>
  <c r="AX1698"/>
  <c r="K1078"/>
  <c r="AV1078"/>
  <c r="AW1078"/>
  <c r="BC1076"/>
  <c r="BL1061"/>
  <c r="BC1077"/>
  <c r="AJ1287"/>
  <c r="I1287"/>
  <c r="AG1374"/>
  <c r="AO1374"/>
  <c r="AF1374"/>
  <c r="AN1374"/>
  <c r="AJ1374"/>
  <c r="AR1374"/>
  <c r="BP1358" s="1"/>
  <c r="BO1358"/>
  <c r="AZ1373"/>
  <c r="M1373" s="1"/>
  <c r="AW1373"/>
  <c r="AS1376"/>
  <c r="AT1376" s="1"/>
  <c r="AW1376"/>
  <c r="AV1376"/>
  <c r="K1376"/>
  <c r="AV2051"/>
  <c r="K2051"/>
  <c r="AW2051"/>
  <c r="BQ1871"/>
  <c r="AP1887"/>
  <c r="AQ1887" s="1"/>
  <c r="I1887"/>
  <c r="I1883"/>
  <c r="AJ1883"/>
  <c r="BD1049"/>
  <c r="BE1049"/>
  <c r="I1292"/>
  <c r="AS1292"/>
  <c r="AT1292" s="1"/>
  <c r="AR1292"/>
  <c r="AR1371"/>
  <c r="AG1371"/>
  <c r="AN1371"/>
  <c r="AO1371"/>
  <c r="AJ1371"/>
  <c r="AF1371"/>
  <c r="AP1671"/>
  <c r="AQ1671" s="1"/>
  <c r="BQ1655"/>
  <c r="I1671"/>
  <c r="BI1871"/>
  <c r="AX1887"/>
  <c r="AX1883"/>
  <c r="AW1749"/>
  <c r="K1749"/>
  <c r="M1749" s="1"/>
  <c r="AV1749"/>
  <c r="AS1749"/>
  <c r="AT1749" s="1"/>
  <c r="I371"/>
  <c r="AJ371"/>
  <c r="AW1750"/>
  <c r="BN1736"/>
  <c r="AZ1750"/>
  <c r="M1750" s="1"/>
  <c r="I1752"/>
  <c r="BQ1736"/>
  <c r="AP1752"/>
  <c r="AQ1752" s="1"/>
  <c r="S5" i="61"/>
  <c r="Q5"/>
  <c r="D5"/>
  <c r="U5"/>
  <c r="O5"/>
  <c r="E5"/>
  <c r="AP1046" i="50"/>
  <c r="AQ1046" s="1"/>
  <c r="BK1034"/>
  <c r="AX1046"/>
  <c r="BM1682"/>
  <c r="I1695"/>
  <c r="AP1695"/>
  <c r="AQ1695" s="1"/>
  <c r="BL1682"/>
  <c r="BC1698"/>
  <c r="AS1700"/>
  <c r="AT1700" s="1"/>
  <c r="AW1700"/>
  <c r="AV1700"/>
  <c r="K1700"/>
  <c r="O526" i="52"/>
  <c r="Q526" s="1"/>
  <c r="C574"/>
  <c r="BQ1061" i="50"/>
  <c r="I1077"/>
  <c r="AP1077"/>
  <c r="AQ1077" s="1"/>
  <c r="BM1277"/>
  <c r="AP1290"/>
  <c r="AQ1290" s="1"/>
  <c r="I1290"/>
  <c r="AV1294"/>
  <c r="K1294"/>
  <c r="AW1294"/>
  <c r="AJ2045"/>
  <c r="I2045"/>
  <c r="I2046"/>
  <c r="AP2046"/>
  <c r="AQ2046" s="1"/>
  <c r="BM2033"/>
  <c r="I1667"/>
  <c r="AJ1667"/>
  <c r="AX1667" s="1"/>
  <c r="AS1888"/>
  <c r="AT1888" s="1"/>
  <c r="K1888"/>
  <c r="M1888" s="1"/>
  <c r="AW1888"/>
  <c r="AV1888"/>
  <c r="G75"/>
  <c r="AA75"/>
  <c r="I1291"/>
  <c r="AS1291"/>
  <c r="AT1291" s="1"/>
  <c r="AR1291"/>
  <c r="AG1370"/>
  <c r="AN1370"/>
  <c r="AR1370"/>
  <c r="BJ1358" s="1"/>
  <c r="AF1370"/>
  <c r="AO1370"/>
  <c r="AI1370"/>
  <c r="AA102"/>
  <c r="G102"/>
  <c r="I1375"/>
  <c r="AO1375"/>
  <c r="AQ1375" s="1"/>
  <c r="AR1375"/>
  <c r="AS1375"/>
  <c r="AT1375" s="1"/>
  <c r="AW1670"/>
  <c r="AZ1670"/>
  <c r="M1670" s="1"/>
  <c r="BO1655"/>
  <c r="BC1670"/>
  <c r="BL1655"/>
  <c r="BC1671"/>
  <c r="BN1655"/>
  <c r="AW1669"/>
  <c r="AZ1669"/>
  <c r="M1669" s="1"/>
  <c r="AW1673"/>
  <c r="AV1673"/>
  <c r="K1673"/>
  <c r="M1673" s="1"/>
  <c r="AV1047"/>
  <c r="AW1047"/>
  <c r="K1047"/>
  <c r="M1047" s="1"/>
  <c r="AS1047"/>
  <c r="AT1047" s="1"/>
  <c r="AS1889"/>
  <c r="AT1889" s="1"/>
  <c r="AV1889"/>
  <c r="AW1889"/>
  <c r="K1889"/>
  <c r="M1889" s="1"/>
  <c r="AC69"/>
  <c r="AC72"/>
  <c r="AC74" s="1"/>
  <c r="AW1753"/>
  <c r="AV1753"/>
  <c r="K1753"/>
  <c r="M1753" s="1"/>
  <c r="BZ1301"/>
  <c r="BZ1299"/>
  <c r="W79"/>
  <c r="Y79" s="1"/>
  <c r="V80"/>
  <c r="W80" s="1"/>
  <c r="Y80" s="1"/>
  <c r="M99"/>
  <c r="AR99"/>
  <c r="BH89" s="1"/>
  <c r="F5" i="61" s="1"/>
  <c r="AY101" i="50"/>
  <c r="BZ101"/>
  <c r="AC101"/>
  <c r="I1694"/>
  <c r="AJ1694"/>
  <c r="AX1694" s="1"/>
  <c r="AZ1696"/>
  <c r="M1696" s="1"/>
  <c r="BN1682"/>
  <c r="AW1696"/>
  <c r="BI1061"/>
  <c r="AX1073"/>
  <c r="AX1077"/>
  <c r="AZ1079"/>
  <c r="BR1061"/>
  <c r="AZ1078"/>
  <c r="BM1061"/>
  <c r="AP1074"/>
  <c r="AQ1074" s="1"/>
  <c r="I1074"/>
  <c r="AR1289"/>
  <c r="BJ1277" s="1"/>
  <c r="AG1289"/>
  <c r="AN1289"/>
  <c r="AO1289"/>
  <c r="AI1289"/>
  <c r="AF1289"/>
  <c r="AJ1368"/>
  <c r="I1368"/>
  <c r="AP1698"/>
  <c r="AQ1698" s="1"/>
  <c r="I1698"/>
  <c r="BQ1682"/>
  <c r="Y133"/>
  <c r="M1700"/>
  <c r="AP1746"/>
  <c r="BC1293"/>
  <c r="AP1773"/>
  <c r="AZ1538"/>
  <c r="M1780"/>
  <c r="AZ1781"/>
  <c r="Y134"/>
  <c r="AP1692"/>
  <c r="K4" i="61"/>
  <c r="AS377" i="50"/>
  <c r="AT377" s="1"/>
  <c r="AF360" i="58"/>
  <c r="AG360" s="1"/>
  <c r="BC2048" i="50"/>
  <c r="BA13" i="61"/>
  <c r="AS1079" i="50"/>
  <c r="AT1079" s="1"/>
  <c r="I2117"/>
  <c r="I95" i="62" s="1"/>
  <c r="I2147" i="50"/>
  <c r="I125" i="62" s="1"/>
  <c r="I2115" i="50"/>
  <c r="I93" i="62" s="1"/>
  <c r="I2133" i="50"/>
  <c r="I111" i="62" s="1"/>
  <c r="I2105" i="50"/>
  <c r="I83" i="62" s="1"/>
  <c r="I2134" i="50"/>
  <c r="I112" i="62" s="1"/>
  <c r="I2113" i="50"/>
  <c r="I91" i="62" s="1"/>
  <c r="I2149" i="50"/>
  <c r="I127" i="62" s="1"/>
  <c r="I2162" i="50"/>
  <c r="I140" i="62" s="1"/>
  <c r="I2161" i="50"/>
  <c r="I139" i="62" s="1"/>
  <c r="I2151" i="50"/>
  <c r="I129" i="62" s="1"/>
  <c r="I2121" i="50"/>
  <c r="I99" i="62" s="1"/>
  <c r="I2137" i="50"/>
  <c r="I115" i="62" s="1"/>
  <c r="I2164" i="50"/>
  <c r="I142" i="62" s="1"/>
  <c r="I2159" i="50"/>
  <c r="I137" i="62" s="1"/>
  <c r="I2146" i="50"/>
  <c r="I124" i="62" s="1"/>
  <c r="I2108" i="50"/>
  <c r="I86" i="62" s="1"/>
  <c r="I2156" i="50"/>
  <c r="I134" i="62" s="1"/>
  <c r="I2158" i="50"/>
  <c r="I136" i="62" s="1"/>
  <c r="I2132" i="50"/>
  <c r="I110" i="62" s="1"/>
  <c r="I2148" i="50"/>
  <c r="I126" i="62" s="1"/>
  <c r="I2116" i="50"/>
  <c r="I94" i="62" s="1"/>
  <c r="I2155" i="50"/>
  <c r="I133" i="62" s="1"/>
  <c r="I2114" i="50"/>
  <c r="I92" i="62" s="1"/>
  <c r="I2118" i="50"/>
  <c r="I96" i="62" s="1"/>
  <c r="I2110" i="50"/>
  <c r="I88" i="62" s="1"/>
  <c r="I2126" i="50"/>
  <c r="I104" i="62" s="1"/>
  <c r="I2098" i="50"/>
  <c r="I76" i="62" s="1"/>
  <c r="I2122" i="50"/>
  <c r="I100" i="62" s="1"/>
  <c r="I2131" i="50"/>
  <c r="I109" i="62" s="1"/>
  <c r="I2101" i="50"/>
  <c r="I79" i="62" s="1"/>
  <c r="I2094" i="50"/>
  <c r="I72" i="62" s="1"/>
  <c r="I2111" i="50"/>
  <c r="I89" i="62" s="1"/>
  <c r="I2140" i="50"/>
  <c r="I118" i="62" s="1"/>
  <c r="I2135" i="50"/>
  <c r="I113" i="62" s="1"/>
  <c r="I2112" i="50"/>
  <c r="I90" i="62" s="1"/>
  <c r="I2119" i="50"/>
  <c r="I97" i="62" s="1"/>
  <c r="I2128" i="50"/>
  <c r="I106" i="62" s="1"/>
  <c r="Z134" i="50"/>
  <c r="G134" s="1"/>
  <c r="G4" i="61"/>
  <c r="AZ1672" i="50"/>
  <c r="M1672" s="1"/>
  <c r="BC1752"/>
  <c r="BC1751"/>
  <c r="Y78"/>
  <c r="M1051"/>
  <c r="AS376"/>
  <c r="AT376" s="1"/>
  <c r="AS1754"/>
  <c r="AT1754" s="1"/>
  <c r="BC1292"/>
  <c r="AP2043"/>
  <c r="Y105"/>
  <c r="AP1287"/>
  <c r="AH1368"/>
  <c r="AP1368" s="1"/>
  <c r="AS2051"/>
  <c r="AT2051" s="1"/>
  <c r="Z133"/>
  <c r="G133" s="1"/>
  <c r="BZ138"/>
  <c r="BZ140"/>
  <c r="AO128"/>
  <c r="AG128"/>
  <c r="AF128"/>
  <c r="AH128" s="1"/>
  <c r="AN128"/>
  <c r="AI128"/>
  <c r="AF129"/>
  <c r="AN129"/>
  <c r="AG129"/>
  <c r="AO129"/>
  <c r="AS126"/>
  <c r="AT126" s="1"/>
  <c r="AG126"/>
  <c r="AF126"/>
  <c r="AH126" s="1"/>
  <c r="AI126" s="1"/>
  <c r="BD1184"/>
  <c r="BE1184"/>
  <c r="AW1182"/>
  <c r="K1182"/>
  <c r="M1182" s="1"/>
  <c r="AV1182"/>
  <c r="AS1182"/>
  <c r="AT1182" s="1"/>
  <c r="AV1185"/>
  <c r="AW1185"/>
  <c r="K1185"/>
  <c r="AS1185"/>
  <c r="AT1185" s="1"/>
  <c r="AW1187"/>
  <c r="AV1187"/>
  <c r="K1187"/>
  <c r="AX1185"/>
  <c r="BI1169"/>
  <c r="BO1169"/>
  <c r="AW1184"/>
  <c r="AZ1184"/>
  <c r="M1184" s="1"/>
  <c r="BD1185"/>
  <c r="BE1185"/>
  <c r="BR1169"/>
  <c r="AZ1186"/>
  <c r="AZ1187"/>
  <c r="M1187" s="1"/>
  <c r="AW1186"/>
  <c r="AV1186"/>
  <c r="K1186"/>
  <c r="M1186" s="1"/>
  <c r="AJ1181"/>
  <c r="I1181"/>
  <c r="BN1169"/>
  <c r="AW1183"/>
  <c r="AZ1183"/>
  <c r="M1183" s="1"/>
  <c r="AW1318"/>
  <c r="AZ1318"/>
  <c r="M1318" s="1"/>
  <c r="BN1304"/>
  <c r="AW1319"/>
  <c r="BO1304"/>
  <c r="AZ1319"/>
  <c r="M1319" s="1"/>
  <c r="AP1317"/>
  <c r="AQ1317" s="1"/>
  <c r="I1317"/>
  <c r="BM1304"/>
  <c r="BR1304"/>
  <c r="AZ1321"/>
  <c r="AZ1322"/>
  <c r="BI1304"/>
  <c r="AX1320"/>
  <c r="BQ1304"/>
  <c r="I1320"/>
  <c r="AP1320"/>
  <c r="AQ1320" s="1"/>
  <c r="BL1304"/>
  <c r="BC1320"/>
  <c r="BC1319"/>
  <c r="I1316"/>
  <c r="AJ1316"/>
  <c r="AV1321"/>
  <c r="AS1321"/>
  <c r="AT1321" s="1"/>
  <c r="AW1321"/>
  <c r="K1321"/>
  <c r="M1321" s="1"/>
  <c r="AV1322"/>
  <c r="AW1322"/>
  <c r="AS1322"/>
  <c r="AT1322" s="1"/>
  <c r="K1322"/>
  <c r="BK116"/>
  <c r="K6" i="61" s="1"/>
  <c r="AP128" i="50"/>
  <c r="AQ128" s="1"/>
  <c r="AY134"/>
  <c r="AC134"/>
  <c r="BZ134"/>
  <c r="AY133"/>
  <c r="BZ133"/>
  <c r="AC133"/>
  <c r="K102"/>
  <c r="AY106"/>
  <c r="BZ106"/>
  <c r="AC106"/>
  <c r="BZ107"/>
  <c r="AY107"/>
  <c r="AC107"/>
  <c r="M74"/>
  <c r="K75"/>
  <c r="K159"/>
  <c r="AV159"/>
  <c r="AW159"/>
  <c r="AS159"/>
  <c r="AT159" s="1"/>
  <c r="AP155"/>
  <c r="AQ155" s="1"/>
  <c r="BK143"/>
  <c r="K160"/>
  <c r="AW160"/>
  <c r="AV160"/>
  <c r="BO143"/>
  <c r="AW158"/>
  <c r="AZ158"/>
  <c r="M158" s="1"/>
  <c r="BI143"/>
  <c r="AX159"/>
  <c r="AX155"/>
  <c r="AZ160"/>
  <c r="AZ161"/>
  <c r="BR143"/>
  <c r="BC159"/>
  <c r="BC158"/>
  <c r="AS156"/>
  <c r="AT156" s="1"/>
  <c r="AW156"/>
  <c r="AV156"/>
  <c r="K156"/>
  <c r="M156" s="1"/>
  <c r="M161"/>
  <c r="AP801"/>
  <c r="BL1223"/>
  <c r="BC1238"/>
  <c r="BC1239"/>
  <c r="AX1239"/>
  <c r="BI1223"/>
  <c r="AV804"/>
  <c r="K804"/>
  <c r="M804" s="1"/>
  <c r="AW804"/>
  <c r="AS804"/>
  <c r="AT804" s="1"/>
  <c r="K808"/>
  <c r="AW808"/>
  <c r="AV808"/>
  <c r="AJ1235"/>
  <c r="AX1235" s="1"/>
  <c r="I1235"/>
  <c r="BK791"/>
  <c r="AP803"/>
  <c r="AQ803" s="1"/>
  <c r="AS398"/>
  <c r="AT398" s="1"/>
  <c r="AW398"/>
  <c r="AV398"/>
  <c r="K398"/>
  <c r="M398" s="1"/>
  <c r="AS1241"/>
  <c r="AT1241" s="1"/>
  <c r="K1241"/>
  <c r="M1241" s="1"/>
  <c r="AV1241"/>
  <c r="AW1241"/>
  <c r="AP1233"/>
  <c r="I1236"/>
  <c r="BM1223"/>
  <c r="AP1236"/>
  <c r="AQ1236" s="1"/>
  <c r="BI791"/>
  <c r="AX807"/>
  <c r="AX803"/>
  <c r="BQ1223"/>
  <c r="I1239"/>
  <c r="AP1239"/>
  <c r="AQ1239" s="1"/>
  <c r="AW807"/>
  <c r="K807"/>
  <c r="M807" s="1"/>
  <c r="AV807"/>
  <c r="AS807"/>
  <c r="AT807" s="1"/>
  <c r="BR791"/>
  <c r="AZ808"/>
  <c r="AZ809"/>
  <c r="M809" s="1"/>
  <c r="BC806"/>
  <c r="BC807"/>
  <c r="AS592"/>
  <c r="AT592" s="1"/>
  <c r="AV592"/>
  <c r="AW592"/>
  <c r="K592"/>
  <c r="AW593"/>
  <c r="K593"/>
  <c r="AV593"/>
  <c r="AZ1778"/>
  <c r="M1778" s="1"/>
  <c r="BO1763"/>
  <c r="AW1778"/>
  <c r="AV1830"/>
  <c r="K1830"/>
  <c r="M1830" s="1"/>
  <c r="AW1830"/>
  <c r="AS1830"/>
  <c r="AT1830" s="1"/>
  <c r="BM575"/>
  <c r="AP588"/>
  <c r="AQ588" s="1"/>
  <c r="I588"/>
  <c r="BL1520"/>
  <c r="BC1535"/>
  <c r="BC1536"/>
  <c r="I1532"/>
  <c r="AJ1532"/>
  <c r="BE1833"/>
  <c r="BD1833"/>
  <c r="AX587"/>
  <c r="BK575"/>
  <c r="AP587"/>
  <c r="AQ587" s="1"/>
  <c r="AX1829"/>
  <c r="AP1829"/>
  <c r="AQ1829" s="1"/>
  <c r="BK1817"/>
  <c r="BI1763"/>
  <c r="AX1779"/>
  <c r="AW1586"/>
  <c r="AV1586"/>
  <c r="K1586"/>
  <c r="M1586" s="1"/>
  <c r="AS1586"/>
  <c r="AT1586" s="1"/>
  <c r="BR1817"/>
  <c r="AZ1834"/>
  <c r="AZ1835"/>
  <c r="M1835" s="1"/>
  <c r="BI1817"/>
  <c r="AX1833"/>
  <c r="AS1538"/>
  <c r="AT1538" s="1"/>
  <c r="K1538"/>
  <c r="M1538" s="1"/>
  <c r="AV1538"/>
  <c r="AW1538"/>
  <c r="I591"/>
  <c r="AP591"/>
  <c r="AQ591" s="1"/>
  <c r="BQ575"/>
  <c r="BN1520"/>
  <c r="AZ1534"/>
  <c r="M1534" s="1"/>
  <c r="AW1534"/>
  <c r="I1779"/>
  <c r="BQ1763"/>
  <c r="AP1779"/>
  <c r="AQ1779" s="1"/>
  <c r="K722"/>
  <c r="M722" s="1"/>
  <c r="AS722"/>
  <c r="AT722" s="1"/>
  <c r="AV722"/>
  <c r="AW722"/>
  <c r="AV1860"/>
  <c r="K1860"/>
  <c r="M1860" s="1"/>
  <c r="AW1860"/>
  <c r="AS1860"/>
  <c r="AT1860" s="1"/>
  <c r="BO575"/>
  <c r="AW590"/>
  <c r="AZ590"/>
  <c r="M590" s="1"/>
  <c r="AP1776"/>
  <c r="AQ1776" s="1"/>
  <c r="BM1763"/>
  <c r="I1776"/>
  <c r="BL1763"/>
  <c r="BC1778"/>
  <c r="BC1779"/>
  <c r="M430"/>
  <c r="M1537"/>
  <c r="BD1832"/>
  <c r="BE1832"/>
  <c r="AZ593"/>
  <c r="AZ592"/>
  <c r="M592" s="1"/>
  <c r="BR575"/>
  <c r="AJ1775"/>
  <c r="AX1775" s="1"/>
  <c r="I1775"/>
  <c r="AZ589"/>
  <c r="M589" s="1"/>
  <c r="AW589"/>
  <c r="BN575"/>
  <c r="BI575"/>
  <c r="AX591"/>
  <c r="AV1833"/>
  <c r="AW1833"/>
  <c r="K1833"/>
  <c r="AS1833"/>
  <c r="AT1833" s="1"/>
  <c r="BK1844"/>
  <c r="AP1856"/>
  <c r="AQ1856" s="1"/>
  <c r="BL575"/>
  <c r="BC591"/>
  <c r="BC590"/>
  <c r="AP1533"/>
  <c r="AQ1533" s="1"/>
  <c r="BM1520"/>
  <c r="I1533"/>
  <c r="AV1536"/>
  <c r="K1536"/>
  <c r="AW1536"/>
  <c r="AS1536"/>
  <c r="AT1536" s="1"/>
  <c r="AV1834"/>
  <c r="AW1834"/>
  <c r="K1834"/>
  <c r="M1834" s="1"/>
  <c r="BD1859"/>
  <c r="BE1859"/>
  <c r="BE1860"/>
  <c r="BD1860"/>
  <c r="AV1857"/>
  <c r="K1857"/>
  <c r="M1857" s="1"/>
  <c r="AW1857"/>
  <c r="AS1857"/>
  <c r="AT1857" s="1"/>
  <c r="AX1536"/>
  <c r="BI1520"/>
  <c r="AX1532"/>
  <c r="AW1781"/>
  <c r="AV1781"/>
  <c r="K1781"/>
  <c r="M1781" s="1"/>
  <c r="AZ1832"/>
  <c r="M1832" s="1"/>
  <c r="AW1832"/>
  <c r="BO1817"/>
  <c r="BO1520"/>
  <c r="AZ1535"/>
  <c r="M1535" s="1"/>
  <c r="AW1535"/>
  <c r="AS1834"/>
  <c r="AT1834" s="1"/>
  <c r="AX1856"/>
  <c r="AV429"/>
  <c r="AW429"/>
  <c r="K429"/>
  <c r="M429" s="1"/>
  <c r="AS429"/>
  <c r="AT429" s="1"/>
  <c r="AW1565"/>
  <c r="AV1565"/>
  <c r="K1565"/>
  <c r="AW1561"/>
  <c r="AZ1561"/>
  <c r="M1561" s="1"/>
  <c r="BN1547"/>
  <c r="BE429"/>
  <c r="BD429"/>
  <c r="AP425"/>
  <c r="AQ425" s="1"/>
  <c r="BK413"/>
  <c r="AZ1562"/>
  <c r="M1562" s="1"/>
  <c r="AW1562"/>
  <c r="BO1547"/>
  <c r="AX1563"/>
  <c r="BI1547"/>
  <c r="AV1564"/>
  <c r="K1564"/>
  <c r="AW1564"/>
  <c r="BL1547"/>
  <c r="BC1563"/>
  <c r="BC1562"/>
  <c r="BM1547"/>
  <c r="AP1560"/>
  <c r="AQ1560" s="1"/>
  <c r="I1560"/>
  <c r="BE428"/>
  <c r="BD428"/>
  <c r="AJ1559"/>
  <c r="I1559"/>
  <c r="AV1563"/>
  <c r="AW1563"/>
  <c r="K1563"/>
  <c r="AS1563"/>
  <c r="AT1563" s="1"/>
  <c r="AZ1564"/>
  <c r="AZ1565"/>
  <c r="BR1547"/>
  <c r="AV1100"/>
  <c r="K1100"/>
  <c r="M1100" s="1"/>
  <c r="AW1100"/>
  <c r="AS1100"/>
  <c r="AT1100" s="1"/>
  <c r="O610" i="52"/>
  <c r="Q610" s="1"/>
  <c r="C658"/>
  <c r="O658" s="1"/>
  <c r="Q658" s="1"/>
  <c r="AN74" i="50" l="1"/>
  <c r="AG74"/>
  <c r="AF74"/>
  <c r="AH74" s="1"/>
  <c r="AO74"/>
  <c r="AR74"/>
  <c r="AJ126"/>
  <c r="I126"/>
  <c r="AY105"/>
  <c r="BZ105"/>
  <c r="AC105"/>
  <c r="BE1292"/>
  <c r="BD1292"/>
  <c r="AY78"/>
  <c r="BZ78"/>
  <c r="AC78"/>
  <c r="BE1752"/>
  <c r="BD1752"/>
  <c r="BD2048"/>
  <c r="BE2048"/>
  <c r="AJ1289"/>
  <c r="I1289"/>
  <c r="AV1074"/>
  <c r="K1074"/>
  <c r="M1074" s="1"/>
  <c r="AW1074"/>
  <c r="AS1074"/>
  <c r="AT1074" s="1"/>
  <c r="AY80"/>
  <c r="BZ80"/>
  <c r="AC80"/>
  <c r="BR1358"/>
  <c r="AZ1376"/>
  <c r="AZ1375"/>
  <c r="AJ1370"/>
  <c r="I1370"/>
  <c r="AW1291"/>
  <c r="AZ1291"/>
  <c r="M1291" s="1"/>
  <c r="BN1277"/>
  <c r="K2046"/>
  <c r="M2046" s="1"/>
  <c r="AW2046"/>
  <c r="AV2046"/>
  <c r="AS2046"/>
  <c r="AT2046" s="1"/>
  <c r="K1290"/>
  <c r="M1290" s="1"/>
  <c r="AW1290"/>
  <c r="AV1290"/>
  <c r="AS1290"/>
  <c r="AT1290" s="1"/>
  <c r="AS1077"/>
  <c r="AT1077" s="1"/>
  <c r="AV1077"/>
  <c r="AW1077"/>
  <c r="K1077"/>
  <c r="AV1046"/>
  <c r="AW1046"/>
  <c r="K1046"/>
  <c r="M1046" s="1"/>
  <c r="AS1046"/>
  <c r="AT1046" s="1"/>
  <c r="AV1671"/>
  <c r="K1671"/>
  <c r="M1671" s="1"/>
  <c r="AW1671"/>
  <c r="AS1671"/>
  <c r="AT1671" s="1"/>
  <c r="AZ1292"/>
  <c r="M1292" s="1"/>
  <c r="AW1292"/>
  <c r="BO1277"/>
  <c r="K1887"/>
  <c r="AV1887"/>
  <c r="AW1887"/>
  <c r="AS1887"/>
  <c r="AT1887" s="1"/>
  <c r="AP1374"/>
  <c r="AQ1374" s="1"/>
  <c r="I1374"/>
  <c r="BQ1358"/>
  <c r="BI1277"/>
  <c r="AX1289"/>
  <c r="AX1293"/>
  <c r="BZ111"/>
  <c r="BZ113"/>
  <c r="K1748"/>
  <c r="M1748" s="1"/>
  <c r="AW1748"/>
  <c r="AV1748"/>
  <c r="AS1748"/>
  <c r="AT1748" s="1"/>
  <c r="AX2045"/>
  <c r="AX2049"/>
  <c r="BI2033"/>
  <c r="BD375"/>
  <c r="BE375"/>
  <c r="BD374"/>
  <c r="BE374"/>
  <c r="AW372"/>
  <c r="K372"/>
  <c r="M372" s="1"/>
  <c r="AV372"/>
  <c r="AS372"/>
  <c r="AT372" s="1"/>
  <c r="BZ84"/>
  <c r="BZ86"/>
  <c r="AW1668"/>
  <c r="K1668"/>
  <c r="M1668" s="1"/>
  <c r="AV1668"/>
  <c r="AS1668"/>
  <c r="AT1668" s="1"/>
  <c r="AZ2050"/>
  <c r="AZ2051"/>
  <c r="BR2033"/>
  <c r="BC2049"/>
  <c r="AW2049"/>
  <c r="AV2049"/>
  <c r="K2049"/>
  <c r="M2049" s="1"/>
  <c r="AS2049"/>
  <c r="AT2049" s="1"/>
  <c r="BK1061"/>
  <c r="AP1073"/>
  <c r="AQ1073" s="1"/>
  <c r="AY132"/>
  <c r="BZ132"/>
  <c r="AC132"/>
  <c r="C359"/>
  <c r="BA14" i="61"/>
  <c r="AW533" i="50"/>
  <c r="K533"/>
  <c r="M533" s="1"/>
  <c r="AV533"/>
  <c r="AS533"/>
  <c r="AT533" s="1"/>
  <c r="K1884"/>
  <c r="M1884" s="1"/>
  <c r="AW1884"/>
  <c r="AV1884"/>
  <c r="AS1884"/>
  <c r="AT1884" s="1"/>
  <c r="BD1887"/>
  <c r="BE1887"/>
  <c r="M1887"/>
  <c r="M1078"/>
  <c r="M1754"/>
  <c r="AC75"/>
  <c r="AZ1294"/>
  <c r="M1079"/>
  <c r="M375"/>
  <c r="BD1751"/>
  <c r="BE1751"/>
  <c r="F13" i="61"/>
  <c r="AV13"/>
  <c r="M13"/>
  <c r="J13"/>
  <c r="L13"/>
  <c r="K13"/>
  <c r="AY13"/>
  <c r="AW13"/>
  <c r="R13"/>
  <c r="Q13"/>
  <c r="S13"/>
  <c r="H13"/>
  <c r="O13"/>
  <c r="P13"/>
  <c r="AU13"/>
  <c r="T13"/>
  <c r="E13"/>
  <c r="I13"/>
  <c r="AX13"/>
  <c r="G13"/>
  <c r="N13"/>
  <c r="U13"/>
  <c r="D13"/>
  <c r="BE1293" i="50"/>
  <c r="BD1293"/>
  <c r="AW1698"/>
  <c r="K1698"/>
  <c r="AV1698"/>
  <c r="AS1698"/>
  <c r="AT1698" s="1"/>
  <c r="AX1374"/>
  <c r="AX1370"/>
  <c r="BI1358"/>
  <c r="BK1682"/>
  <c r="AP1694"/>
  <c r="AQ1694" s="1"/>
  <c r="AN101"/>
  <c r="AO101"/>
  <c r="AF101"/>
  <c r="AH101" s="1"/>
  <c r="AG101"/>
  <c r="AI101"/>
  <c r="AC79"/>
  <c r="AY79"/>
  <c r="BZ79"/>
  <c r="AS72"/>
  <c r="AT72" s="1"/>
  <c r="AG72"/>
  <c r="AF72"/>
  <c r="AH72" s="1"/>
  <c r="BD1671"/>
  <c r="BE1671"/>
  <c r="BD1670"/>
  <c r="BE1670"/>
  <c r="AV1375"/>
  <c r="K1375"/>
  <c r="M1375" s="1"/>
  <c r="AW1375"/>
  <c r="AP1667"/>
  <c r="AQ1667" s="1"/>
  <c r="BK1655"/>
  <c r="BK2033"/>
  <c r="AP2045"/>
  <c r="AQ2045" s="1"/>
  <c r="O574" i="52"/>
  <c r="Q574" s="1"/>
  <c r="C622"/>
  <c r="BD1698" i="50"/>
  <c r="BE1698"/>
  <c r="AW1695"/>
  <c r="AV1695"/>
  <c r="K1695"/>
  <c r="M1695" s="1"/>
  <c r="AS1695"/>
  <c r="AT1695" s="1"/>
  <c r="AV1752"/>
  <c r="AS1752"/>
  <c r="AT1752" s="1"/>
  <c r="K1752"/>
  <c r="M1752" s="1"/>
  <c r="AW1752"/>
  <c r="AP371"/>
  <c r="AQ371" s="1"/>
  <c r="BK359"/>
  <c r="AP1371"/>
  <c r="AQ1371" s="1"/>
  <c r="I1371"/>
  <c r="BM1358"/>
  <c r="BL1358"/>
  <c r="BC1374"/>
  <c r="BC1373"/>
  <c r="BK1871"/>
  <c r="AP1883"/>
  <c r="AQ1883" s="1"/>
  <c r="BE1077"/>
  <c r="BD1077"/>
  <c r="BE1076"/>
  <c r="BD1076"/>
  <c r="AJ102"/>
  <c r="AO102"/>
  <c r="AN102"/>
  <c r="AG102"/>
  <c r="AF102"/>
  <c r="AH102" s="1"/>
  <c r="AP102" s="1"/>
  <c r="AQ102" s="1"/>
  <c r="AS99"/>
  <c r="AT99" s="1"/>
  <c r="AF99"/>
  <c r="AG99"/>
  <c r="BN2033"/>
  <c r="AW2047"/>
  <c r="AZ2047"/>
  <c r="M2047" s="1"/>
  <c r="I1293"/>
  <c r="AP1293"/>
  <c r="AQ1293" s="1"/>
  <c r="BQ1277"/>
  <c r="AV2050"/>
  <c r="K2050"/>
  <c r="M2050" s="1"/>
  <c r="AW2050"/>
  <c r="AV1295"/>
  <c r="K1295"/>
  <c r="M1295" s="1"/>
  <c r="AW1295"/>
  <c r="BD1886"/>
  <c r="BE1886"/>
  <c r="M1833"/>
  <c r="M1322"/>
  <c r="M1077"/>
  <c r="M1294"/>
  <c r="M2051"/>
  <c r="M1376"/>
  <c r="M1698"/>
  <c r="AX371"/>
  <c r="Y130"/>
  <c r="AH129"/>
  <c r="M1185"/>
  <c r="BK1169"/>
  <c r="AP1181"/>
  <c r="AQ1181" s="1"/>
  <c r="AX1181"/>
  <c r="AP1316"/>
  <c r="AQ1316" s="1"/>
  <c r="BK1304"/>
  <c r="AX1316"/>
  <c r="BD1319"/>
  <c r="BE1319"/>
  <c r="K1320"/>
  <c r="M1320" s="1"/>
  <c r="AW1320"/>
  <c r="AV1320"/>
  <c r="AS1320"/>
  <c r="AT1320" s="1"/>
  <c r="BD1320"/>
  <c r="BE1320"/>
  <c r="K1317"/>
  <c r="M1317" s="1"/>
  <c r="AW1317"/>
  <c r="AV1317"/>
  <c r="AS1317"/>
  <c r="AT1317" s="1"/>
  <c r="AV128"/>
  <c r="AS128"/>
  <c r="AT128" s="1"/>
  <c r="K128"/>
  <c r="AO133"/>
  <c r="AQ133" s="1"/>
  <c r="I133"/>
  <c r="AO134"/>
  <c r="AQ134" s="1"/>
  <c r="I134"/>
  <c r="K101"/>
  <c r="AO106"/>
  <c r="AQ106" s="1"/>
  <c r="AR106"/>
  <c r="I106"/>
  <c r="M102"/>
  <c r="AR102"/>
  <c r="AR107"/>
  <c r="BS89" s="1"/>
  <c r="T5" i="61" s="1"/>
  <c r="I107" i="50"/>
  <c r="AO107"/>
  <c r="AQ107" s="1"/>
  <c r="M75"/>
  <c r="AR75"/>
  <c r="BJ62"/>
  <c r="J4" i="61" s="1"/>
  <c r="BD159" i="50"/>
  <c r="BE159"/>
  <c r="AW155"/>
  <c r="AV155"/>
  <c r="K155"/>
  <c r="M155" s="1"/>
  <c r="AS155"/>
  <c r="AT155" s="1"/>
  <c r="M160"/>
  <c r="M159"/>
  <c r="BD158"/>
  <c r="BE158"/>
  <c r="BE806"/>
  <c r="BD806"/>
  <c r="AW1239"/>
  <c r="AV1239"/>
  <c r="K1239"/>
  <c r="M1239" s="1"/>
  <c r="AS1239"/>
  <c r="AT1239" s="1"/>
  <c r="AW1236"/>
  <c r="K1236"/>
  <c r="M1236" s="1"/>
  <c r="AV1236"/>
  <c r="AS1236"/>
  <c r="AT1236" s="1"/>
  <c r="AW803"/>
  <c r="K803"/>
  <c r="M803" s="1"/>
  <c r="AV803"/>
  <c r="AS803"/>
  <c r="AT803" s="1"/>
  <c r="BD1239"/>
  <c r="BE1239"/>
  <c r="M808"/>
  <c r="BE807"/>
  <c r="BD807"/>
  <c r="BK1223"/>
  <c r="AP1235"/>
  <c r="AQ1235" s="1"/>
  <c r="BD1238"/>
  <c r="BE1238"/>
  <c r="BD590"/>
  <c r="BE590"/>
  <c r="BD1778"/>
  <c r="BE1778"/>
  <c r="AV1776"/>
  <c r="AW1776"/>
  <c r="K1776"/>
  <c r="M1776" s="1"/>
  <c r="AS1776"/>
  <c r="AT1776" s="1"/>
  <c r="K1779"/>
  <c r="M1779" s="1"/>
  <c r="AV1779"/>
  <c r="AW1779"/>
  <c r="AS1779"/>
  <c r="AT1779" s="1"/>
  <c r="K1829"/>
  <c r="M1829" s="1"/>
  <c r="AV1829"/>
  <c r="AW1829"/>
  <c r="AS1829"/>
  <c r="AT1829" s="1"/>
  <c r="K587"/>
  <c r="M587" s="1"/>
  <c r="AV587"/>
  <c r="AW587"/>
  <c r="AS587"/>
  <c r="AT587" s="1"/>
  <c r="BD1535"/>
  <c r="BE1535"/>
  <c r="M1563"/>
  <c r="AW1533"/>
  <c r="AV1533"/>
  <c r="K1533"/>
  <c r="M1533" s="1"/>
  <c r="AS1533"/>
  <c r="AT1533" s="1"/>
  <c r="BD591"/>
  <c r="BE591"/>
  <c r="AW1856"/>
  <c r="AV1856"/>
  <c r="K1856"/>
  <c r="M1856" s="1"/>
  <c r="AS1856"/>
  <c r="AT1856" s="1"/>
  <c r="BK1763"/>
  <c r="AP1775"/>
  <c r="AQ1775" s="1"/>
  <c r="BD1779"/>
  <c r="BE1779"/>
  <c r="K591"/>
  <c r="M591" s="1"/>
  <c r="AW591"/>
  <c r="AV591"/>
  <c r="AS591"/>
  <c r="AT591" s="1"/>
  <c r="BK1520"/>
  <c r="AP1532"/>
  <c r="AQ1532" s="1"/>
  <c r="BD1536"/>
  <c r="BE1536"/>
  <c r="K588"/>
  <c r="M588" s="1"/>
  <c r="AV588"/>
  <c r="AW588"/>
  <c r="AS588"/>
  <c r="AT588" s="1"/>
  <c r="M1536"/>
  <c r="M593"/>
  <c r="BE1563"/>
  <c r="BD1563"/>
  <c r="AV425"/>
  <c r="K425"/>
  <c r="M425" s="1"/>
  <c r="AW425"/>
  <c r="AS425"/>
  <c r="AT425" s="1"/>
  <c r="M1565"/>
  <c r="AP1559"/>
  <c r="AQ1559" s="1"/>
  <c r="BK1547"/>
  <c r="AV1560"/>
  <c r="AW1560"/>
  <c r="K1560"/>
  <c r="M1560" s="1"/>
  <c r="AS1560"/>
  <c r="AT1560" s="1"/>
  <c r="BD1562"/>
  <c r="BE1562"/>
  <c r="M1564"/>
  <c r="AX1559"/>
  <c r="AY130" l="1"/>
  <c r="AC130"/>
  <c r="BZ130"/>
  <c r="AS102"/>
  <c r="AT102" s="1"/>
  <c r="AV102"/>
  <c r="BM89"/>
  <c r="I5" i="61" s="1"/>
  <c r="I102" i="50"/>
  <c r="BD1374"/>
  <c r="BE1374"/>
  <c r="AV1371"/>
  <c r="AW1371"/>
  <c r="K1371"/>
  <c r="M1371" s="1"/>
  <c r="AS1371"/>
  <c r="AT1371" s="1"/>
  <c r="AV371"/>
  <c r="K371"/>
  <c r="M371" s="1"/>
  <c r="AW371"/>
  <c r="AS371"/>
  <c r="AT371" s="1"/>
  <c r="Z103"/>
  <c r="G103" s="1"/>
  <c r="Y103"/>
  <c r="Z76"/>
  <c r="G76" s="1"/>
  <c r="Y76"/>
  <c r="AV1667"/>
  <c r="K1667"/>
  <c r="M1667" s="1"/>
  <c r="AW1667"/>
  <c r="AS1667"/>
  <c r="AT1667" s="1"/>
  <c r="AI72"/>
  <c r="AP72"/>
  <c r="AJ101"/>
  <c r="I101"/>
  <c r="AO75"/>
  <c r="AG75"/>
  <c r="AF75"/>
  <c r="AH75" s="1"/>
  <c r="AP75" s="1"/>
  <c r="AQ75" s="1"/>
  <c r="AV75" s="1"/>
  <c r="AJ75"/>
  <c r="AN75"/>
  <c r="C386"/>
  <c r="BA15" i="61"/>
  <c r="K1073" i="50"/>
  <c r="M1073" s="1"/>
  <c r="AV1073"/>
  <c r="AW1073"/>
  <c r="AS1073"/>
  <c r="AT1073" s="1"/>
  <c r="BD2049"/>
  <c r="BE2049"/>
  <c r="AV1374"/>
  <c r="AW1374"/>
  <c r="K1374"/>
  <c r="M1374" s="1"/>
  <c r="AS1374"/>
  <c r="AT1374" s="1"/>
  <c r="AP1370"/>
  <c r="AQ1370" s="1"/>
  <c r="BK1358"/>
  <c r="I80"/>
  <c r="AO80"/>
  <c r="AQ80" s="1"/>
  <c r="AR80"/>
  <c r="BS62" s="1"/>
  <c r="T4" i="61" s="1"/>
  <c r="BK1277" i="50"/>
  <c r="AP1289"/>
  <c r="AQ1289" s="1"/>
  <c r="AF105"/>
  <c r="AO105"/>
  <c r="AN105"/>
  <c r="AR105"/>
  <c r="BP89" s="1"/>
  <c r="L5" i="61" s="1"/>
  <c r="AG105" i="50"/>
  <c r="AJ105"/>
  <c r="BI116"/>
  <c r="G6" i="61" s="1"/>
  <c r="AJ129" i="50"/>
  <c r="AX128"/>
  <c r="AP126"/>
  <c r="AI74"/>
  <c r="I74" s="1"/>
  <c r="AP74"/>
  <c r="AQ74" s="1"/>
  <c r="AH99"/>
  <c r="AP101"/>
  <c r="AQ101" s="1"/>
  <c r="Z130"/>
  <c r="G130" s="1"/>
  <c r="AW1293"/>
  <c r="AV1293"/>
  <c r="K1293"/>
  <c r="M1293" s="1"/>
  <c r="AS1293"/>
  <c r="AT1293" s="1"/>
  <c r="K1883"/>
  <c r="M1883" s="1"/>
  <c r="AV1883"/>
  <c r="AW1883"/>
  <c r="AS1883"/>
  <c r="AT1883" s="1"/>
  <c r="BE1373"/>
  <c r="BD1373"/>
  <c r="O622" i="52"/>
  <c r="Q622" s="1"/>
  <c r="Y131" i="50" s="1"/>
  <c r="C670" i="52"/>
  <c r="O670" s="1"/>
  <c r="Q670" s="1"/>
  <c r="AW2045" i="50"/>
  <c r="K2045"/>
  <c r="M2045" s="1"/>
  <c r="AV2045"/>
  <c r="AS2045"/>
  <c r="AT2045" s="1"/>
  <c r="AO79"/>
  <c r="AQ79" s="1"/>
  <c r="AR79"/>
  <c r="I79"/>
  <c r="K1694"/>
  <c r="M1694" s="1"/>
  <c r="AW1694"/>
  <c r="AV1694"/>
  <c r="AS1694"/>
  <c r="AT1694" s="1"/>
  <c r="O14" i="61"/>
  <c r="L14"/>
  <c r="D14"/>
  <c r="S14"/>
  <c r="M14"/>
  <c r="AV14"/>
  <c r="H14"/>
  <c r="T14"/>
  <c r="G14"/>
  <c r="Q14"/>
  <c r="E14"/>
  <c r="AW14"/>
  <c r="K14"/>
  <c r="U14"/>
  <c r="F14"/>
  <c r="I14"/>
  <c r="AY14"/>
  <c r="AX14"/>
  <c r="N14"/>
  <c r="J14"/>
  <c r="AU14"/>
  <c r="P14"/>
  <c r="R14"/>
  <c r="AF132" i="50"/>
  <c r="AR132"/>
  <c r="BP116" s="1"/>
  <c r="L6" i="61" s="1"/>
  <c r="AN132" i="50"/>
  <c r="AO132"/>
  <c r="AG132"/>
  <c r="AJ132"/>
  <c r="AO78"/>
  <c r="AG78"/>
  <c r="AR78"/>
  <c r="BP62" s="1"/>
  <c r="L4" i="61" s="1"/>
  <c r="AN78" i="50"/>
  <c r="AJ78"/>
  <c r="AF78"/>
  <c r="AV1181"/>
  <c r="AS1181"/>
  <c r="AT1181" s="1"/>
  <c r="AW1181"/>
  <c r="K1181"/>
  <c r="M1181" s="1"/>
  <c r="K1316"/>
  <c r="M1316" s="1"/>
  <c r="AS1316"/>
  <c r="AT1316" s="1"/>
  <c r="AV1316"/>
  <c r="AW1316"/>
  <c r="AR128"/>
  <c r="M128"/>
  <c r="K133"/>
  <c r="AV133"/>
  <c r="AV134"/>
  <c r="K134"/>
  <c r="AR134" s="1"/>
  <c r="BS116" s="1"/>
  <c r="T6" i="61" s="1"/>
  <c r="K129" i="50"/>
  <c r="AS134"/>
  <c r="AT134" s="1"/>
  <c r="AS133"/>
  <c r="AT133" s="1"/>
  <c r="AR101"/>
  <c r="K107"/>
  <c r="AV107"/>
  <c r="AW107"/>
  <c r="BL89"/>
  <c r="H5" i="61" s="1"/>
  <c r="BC104" i="50"/>
  <c r="BC105"/>
  <c r="AW102"/>
  <c r="AS106"/>
  <c r="AT106" s="1"/>
  <c r="K106"/>
  <c r="M106" s="1"/>
  <c r="AV106"/>
  <c r="AW106"/>
  <c r="AS107"/>
  <c r="AT107" s="1"/>
  <c r="BR89"/>
  <c r="R5" i="61" s="1"/>
  <c r="AZ106" i="50"/>
  <c r="AZ107"/>
  <c r="BL62"/>
  <c r="H4" i="61" s="1"/>
  <c r="BC77" i="50"/>
  <c r="BC78"/>
  <c r="AW75"/>
  <c r="AV1235"/>
  <c r="K1235"/>
  <c r="M1235" s="1"/>
  <c r="AW1235"/>
  <c r="AS1235"/>
  <c r="AT1235" s="1"/>
  <c r="AW1532"/>
  <c r="AV1532"/>
  <c r="K1532"/>
  <c r="M1532" s="1"/>
  <c r="AS1532"/>
  <c r="AT1532" s="1"/>
  <c r="K1775"/>
  <c r="M1775" s="1"/>
  <c r="AV1775"/>
  <c r="AW1775"/>
  <c r="AS1775"/>
  <c r="AT1775" s="1"/>
  <c r="AV1559"/>
  <c r="K1559"/>
  <c r="M1559" s="1"/>
  <c r="AW1559"/>
  <c r="AS1559"/>
  <c r="AT1559" s="1"/>
  <c r="I132" l="1"/>
  <c r="AP132"/>
  <c r="AQ132" s="1"/>
  <c r="BQ116"/>
  <c r="M6" i="61" s="1"/>
  <c r="AZ80" i="50"/>
  <c r="BR62"/>
  <c r="R4" i="61" s="1"/>
  <c r="AZ79" i="50"/>
  <c r="K79"/>
  <c r="M79" s="1"/>
  <c r="AV79"/>
  <c r="AW79"/>
  <c r="AY131"/>
  <c r="BZ131"/>
  <c r="AC131"/>
  <c r="AP99"/>
  <c r="AI99"/>
  <c r="AS80"/>
  <c r="AT80" s="1"/>
  <c r="AV80"/>
  <c r="AW80"/>
  <c r="K80"/>
  <c r="M80" s="1"/>
  <c r="I75"/>
  <c r="BM62"/>
  <c r="I4" i="61" s="1"/>
  <c r="AY76" i="50"/>
  <c r="AC76"/>
  <c r="BZ76"/>
  <c r="BA16" i="61"/>
  <c r="AS75" i="50"/>
  <c r="AT75" s="1"/>
  <c r="Y77"/>
  <c r="I78"/>
  <c r="AP78"/>
  <c r="AQ78" s="1"/>
  <c r="BQ62"/>
  <c r="M4" i="61" s="1"/>
  <c r="AX78" i="50"/>
  <c r="AV101"/>
  <c r="AS101"/>
  <c r="AT101" s="1"/>
  <c r="AV74"/>
  <c r="AS74"/>
  <c r="AT74" s="1"/>
  <c r="AW74"/>
  <c r="BM116"/>
  <c r="I6" i="61" s="1"/>
  <c r="I129" i="50"/>
  <c r="AP129"/>
  <c r="AQ129" s="1"/>
  <c r="AP105"/>
  <c r="AQ105" s="1"/>
  <c r="I105"/>
  <c r="BQ89"/>
  <c r="M5" i="61" s="1"/>
  <c r="AX105" i="50"/>
  <c r="K1289"/>
  <c r="M1289" s="1"/>
  <c r="AV1289"/>
  <c r="AW1289"/>
  <c r="AS1289"/>
  <c r="AT1289" s="1"/>
  <c r="AV1370"/>
  <c r="AW1370"/>
  <c r="K1370"/>
  <c r="M1370" s="1"/>
  <c r="AS1370"/>
  <c r="AT1370" s="1"/>
  <c r="AY15" i="61"/>
  <c r="N15"/>
  <c r="K15"/>
  <c r="U15"/>
  <c r="I15"/>
  <c r="E15"/>
  <c r="T15"/>
  <c r="AU15"/>
  <c r="M15"/>
  <c r="J15"/>
  <c r="O15"/>
  <c r="P15"/>
  <c r="AW15"/>
  <c r="Q15"/>
  <c r="S15"/>
  <c r="H15"/>
  <c r="AV15"/>
  <c r="AX15"/>
  <c r="L15"/>
  <c r="G15"/>
  <c r="R15"/>
  <c r="D15"/>
  <c r="F15"/>
  <c r="C413" i="50"/>
  <c r="BK89"/>
  <c r="K5" i="61" s="1"/>
  <c r="AX101" i="50"/>
  <c r="M101" s="1"/>
  <c r="AY103"/>
  <c r="BZ103"/>
  <c r="AC103"/>
  <c r="AR130"/>
  <c r="I130"/>
  <c r="AS130"/>
  <c r="AT130" s="1"/>
  <c r="AS79"/>
  <c r="AT79" s="1"/>
  <c r="AX132"/>
  <c r="Y104"/>
  <c r="AW134"/>
  <c r="BJ116"/>
  <c r="J6" i="61" s="1"/>
  <c r="AW128" i="50"/>
  <c r="AR133"/>
  <c r="M129"/>
  <c r="AR129"/>
  <c r="BJ89"/>
  <c r="J5" i="61" s="1"/>
  <c r="AW101" i="50"/>
  <c r="BD105"/>
  <c r="R99"/>
  <c r="BX89" s="1"/>
  <c r="AY5" i="61" s="1"/>
  <c r="BE105" i="50"/>
  <c r="R98"/>
  <c r="BW89" s="1"/>
  <c r="AX5" i="61" s="1"/>
  <c r="BE104" i="50"/>
  <c r="BD104"/>
  <c r="M107"/>
  <c r="R72"/>
  <c r="BX62" s="1"/>
  <c r="AY4" i="61" s="1"/>
  <c r="BE78" i="50"/>
  <c r="BD78"/>
  <c r="R71"/>
  <c r="BW62" s="1"/>
  <c r="AX4" i="61" s="1"/>
  <c r="BD77" i="50"/>
  <c r="BE77"/>
  <c r="AY104" l="1"/>
  <c r="AC104"/>
  <c r="BZ104"/>
  <c r="C440"/>
  <c r="BA17" i="61"/>
  <c r="AS129" i="50"/>
  <c r="AT129" s="1"/>
  <c r="AV129"/>
  <c r="K78"/>
  <c r="M78" s="1"/>
  <c r="AW78"/>
  <c r="AV78"/>
  <c r="AS78"/>
  <c r="AT78" s="1"/>
  <c r="AY77"/>
  <c r="BZ77"/>
  <c r="AC77"/>
  <c r="R16" i="61"/>
  <c r="E16"/>
  <c r="M16"/>
  <c r="T16"/>
  <c r="K16"/>
  <c r="S16"/>
  <c r="AY16"/>
  <c r="O16"/>
  <c r="F16"/>
  <c r="AX16"/>
  <c r="U16"/>
  <c r="G16"/>
  <c r="H16"/>
  <c r="Q16"/>
  <c r="AW16"/>
  <c r="AU16"/>
  <c r="D16"/>
  <c r="J16"/>
  <c r="P16"/>
  <c r="L16"/>
  <c r="N16"/>
  <c r="AV16"/>
  <c r="I16"/>
  <c r="BN116" i="50"/>
  <c r="N6" i="61" s="1"/>
  <c r="AW130" i="50"/>
  <c r="AZ130"/>
  <c r="M130" s="1"/>
  <c r="AS103"/>
  <c r="AT103" s="1"/>
  <c r="I103"/>
  <c r="AR103"/>
  <c r="AV105"/>
  <c r="K105"/>
  <c r="M105" s="1"/>
  <c r="AW105"/>
  <c r="AS105"/>
  <c r="AT105" s="1"/>
  <c r="AS76"/>
  <c r="AT76"/>
  <c r="AR76"/>
  <c r="I76"/>
  <c r="AS131"/>
  <c r="AT131" s="1"/>
  <c r="I131"/>
  <c r="AR131"/>
  <c r="K132"/>
  <c r="M132" s="1"/>
  <c r="AV132"/>
  <c r="AS132"/>
  <c r="AT132" s="1"/>
  <c r="AW132"/>
  <c r="BC131"/>
  <c r="BC128"/>
  <c r="R119" s="1"/>
  <c r="BV116" s="1"/>
  <c r="AW6" i="61" s="1"/>
  <c r="BC132" i="50"/>
  <c r="BC130"/>
  <c r="N116" s="1"/>
  <c r="BT116" s="1"/>
  <c r="AU6" i="61" s="1"/>
  <c r="BC129" i="50"/>
  <c r="N117" s="1"/>
  <c r="BU116" s="1"/>
  <c r="AV6" i="61" s="1"/>
  <c r="BL116" i="50"/>
  <c r="H6" i="61" s="1"/>
  <c r="AW129" i="50"/>
  <c r="BR116"/>
  <c r="R6" i="61" s="1"/>
  <c r="AZ133" i="50"/>
  <c r="M133" s="1"/>
  <c r="AZ134"/>
  <c r="M134" s="1"/>
  <c r="AW133"/>
  <c r="AZ103" l="1"/>
  <c r="M103" s="1"/>
  <c r="AW103"/>
  <c r="BN89"/>
  <c r="N5" i="61" s="1"/>
  <c r="BC102" i="50"/>
  <c r="N90" s="1"/>
  <c r="BU89" s="1"/>
  <c r="AV5" i="61" s="1"/>
  <c r="BC101" i="50"/>
  <c r="R92" s="1"/>
  <c r="BV89" s="1"/>
  <c r="AW5" i="61" s="1"/>
  <c r="BC103" i="50"/>
  <c r="N89" s="1"/>
  <c r="BT89" s="1"/>
  <c r="AU5" i="61" s="1"/>
  <c r="M17"/>
  <c r="AV17"/>
  <c r="AW17"/>
  <c r="AY17"/>
  <c r="AX17"/>
  <c r="N17"/>
  <c r="G17"/>
  <c r="O17"/>
  <c r="Q17"/>
  <c r="D17"/>
  <c r="J17"/>
  <c r="S17"/>
  <c r="L17"/>
  <c r="I17"/>
  <c r="AU17"/>
  <c r="R17"/>
  <c r="P17"/>
  <c r="H17"/>
  <c r="F17"/>
  <c r="E17"/>
  <c r="U17"/>
  <c r="T17"/>
  <c r="K17"/>
  <c r="AZ131" i="50"/>
  <c r="M131" s="1"/>
  <c r="BO116"/>
  <c r="P6" i="61" s="1"/>
  <c r="AW131" i="50"/>
  <c r="AZ76"/>
  <c r="M76" s="1"/>
  <c r="AW76"/>
  <c r="BN62"/>
  <c r="N4" i="61" s="1"/>
  <c r="BC74" i="50"/>
  <c r="R65" s="1"/>
  <c r="BV62" s="1"/>
  <c r="AW4" i="61" s="1"/>
  <c r="BC76" i="50"/>
  <c r="N62" s="1"/>
  <c r="BT62" s="1"/>
  <c r="AU4" i="61" s="1"/>
  <c r="BC75" i="50"/>
  <c r="N63" s="1"/>
  <c r="BU62" s="1"/>
  <c r="AV4" i="61" s="1"/>
  <c r="AS77" i="50"/>
  <c r="AT77" s="1"/>
  <c r="I77"/>
  <c r="AR77"/>
  <c r="C467"/>
  <c r="BA18" i="61"/>
  <c r="BA19"/>
  <c r="AS104" i="50"/>
  <c r="AT104" s="1"/>
  <c r="I104"/>
  <c r="AR104"/>
  <c r="R126"/>
  <c r="BX116" s="1"/>
  <c r="AY6" i="61" s="1"/>
  <c r="BD132" i="50"/>
  <c r="BE132"/>
  <c r="BE131"/>
  <c r="R125"/>
  <c r="BW116" s="1"/>
  <c r="AX6" i="61" s="1"/>
  <c r="BD131" i="50"/>
  <c r="D19" i="61" l="1"/>
  <c r="J19"/>
  <c r="Q19"/>
  <c r="I19"/>
  <c r="T19"/>
  <c r="M19"/>
  <c r="K19"/>
  <c r="L19"/>
  <c r="AU19"/>
  <c r="H19"/>
  <c r="AW19"/>
  <c r="R19"/>
  <c r="AV19"/>
  <c r="AY19"/>
  <c r="P19"/>
  <c r="E19"/>
  <c r="F19"/>
  <c r="G19"/>
  <c r="U19"/>
  <c r="O19"/>
  <c r="S19"/>
  <c r="N19"/>
  <c r="AX19"/>
  <c r="AZ77" i="50"/>
  <c r="M77" s="1"/>
  <c r="AW77"/>
  <c r="BO62"/>
  <c r="P4" i="61" s="1"/>
  <c r="AW104" i="50"/>
  <c r="BO89"/>
  <c r="P5" i="61" s="1"/>
  <c r="AZ104" i="50"/>
  <c r="M104" s="1"/>
  <c r="AV18" i="61"/>
  <c r="AW18"/>
  <c r="S18"/>
  <c r="F18"/>
  <c r="N18"/>
  <c r="L18"/>
  <c r="E18"/>
  <c r="M18"/>
  <c r="AX18"/>
  <c r="O18"/>
  <c r="J18"/>
  <c r="U18"/>
  <c r="D18"/>
  <c r="AU18"/>
  <c r="G18"/>
  <c r="Q18"/>
  <c r="T18"/>
  <c r="P18"/>
  <c r="H18"/>
  <c r="K18"/>
  <c r="AY18"/>
  <c r="R18"/>
  <c r="I18"/>
  <c r="C494" i="50"/>
  <c r="C521" l="1"/>
  <c r="C548" s="1"/>
  <c r="C575" s="1"/>
  <c r="C602" s="1"/>
  <c r="C629" s="1"/>
  <c r="C656" s="1"/>
  <c r="C683" s="1"/>
  <c r="C710" s="1"/>
  <c r="C737" s="1"/>
  <c r="C764" s="1"/>
  <c r="C791" s="1"/>
  <c r="C818" s="1"/>
  <c r="C845" s="1"/>
  <c r="C872" s="1"/>
  <c r="C899" s="1"/>
  <c r="C926" s="1"/>
  <c r="C953" s="1"/>
  <c r="C980" s="1"/>
  <c r="C1007" s="1"/>
  <c r="C1034" s="1"/>
  <c r="C1061" s="1"/>
  <c r="C1088" s="1"/>
  <c r="C1115" s="1"/>
  <c r="C1142" s="1"/>
  <c r="C1169" s="1"/>
  <c r="C1196" s="1"/>
  <c r="C1223" s="1"/>
  <c r="C1250" s="1"/>
  <c r="C1277" s="1"/>
  <c r="C1304" s="1"/>
  <c r="C1331" s="1"/>
  <c r="C1358" s="1"/>
  <c r="C1385" s="1"/>
  <c r="C1412" s="1"/>
  <c r="C1439" s="1"/>
  <c r="C1466" s="1"/>
  <c r="C1493" s="1"/>
  <c r="C1520" s="1"/>
  <c r="C1547" s="1"/>
  <c r="C1574" s="1"/>
  <c r="C1601" s="1"/>
  <c r="C1628" s="1"/>
  <c r="C1655" s="1"/>
  <c r="C1682" s="1"/>
  <c r="C1709" s="1"/>
  <c r="C1736" s="1"/>
  <c r="C1763" s="1"/>
  <c r="C1790" s="1"/>
  <c r="C1817" s="1"/>
  <c r="C1844" s="1"/>
  <c r="C1871" s="1"/>
  <c r="C1898" s="1"/>
  <c r="C1925" s="1"/>
  <c r="C1952" s="1"/>
  <c r="C1979" s="1"/>
  <c r="C2006" s="1"/>
  <c r="C2033" s="1"/>
  <c r="C2060" s="1"/>
  <c r="BA50" i="61"/>
  <c r="AX50" l="1"/>
  <c r="K50"/>
  <c r="O50"/>
  <c r="AY50"/>
  <c r="U50"/>
  <c r="H50"/>
  <c r="Q50"/>
  <c r="N50"/>
  <c r="R50"/>
  <c r="L50"/>
  <c r="S50"/>
  <c r="G50"/>
  <c r="M50"/>
  <c r="AW50"/>
  <c r="AU50"/>
  <c r="T50"/>
  <c r="I50"/>
  <c r="P50"/>
  <c r="E50"/>
  <c r="F50"/>
  <c r="J50"/>
  <c r="D50"/>
  <c r="AV50"/>
  <c r="BA37"/>
  <c r="BA26"/>
  <c r="BA51"/>
  <c r="BA28"/>
  <c r="BA68"/>
  <c r="BA77"/>
  <c r="BA45"/>
  <c r="BA41"/>
  <c r="BA27"/>
  <c r="BA44"/>
  <c r="BA70"/>
  <c r="BA38"/>
  <c r="BA23"/>
  <c r="BA58"/>
  <c r="BA52"/>
  <c r="BA73"/>
  <c r="BA46"/>
  <c r="BA33"/>
  <c r="BA31"/>
  <c r="BA43"/>
  <c r="BA29"/>
  <c r="BA24"/>
  <c r="BA49"/>
  <c r="BA60"/>
  <c r="BA42"/>
  <c r="BA32"/>
  <c r="BA48"/>
  <c r="BA67"/>
  <c r="BA30"/>
  <c r="BA35"/>
  <c r="BA25"/>
  <c r="BA74"/>
  <c r="BA22"/>
  <c r="BA21"/>
  <c r="BA72"/>
  <c r="BA71"/>
  <c r="BA40"/>
  <c r="BA36"/>
  <c r="BA59"/>
  <c r="BA55"/>
  <c r="BA39"/>
  <c r="BA47"/>
  <c r="BA62"/>
  <c r="BA54"/>
  <c r="BA34"/>
  <c r="BA57"/>
  <c r="BA63"/>
  <c r="BA61"/>
  <c r="BA20"/>
  <c r="BA53"/>
  <c r="BA56"/>
  <c r="BA64"/>
  <c r="BA66"/>
  <c r="BA75"/>
  <c r="BA65"/>
  <c r="BA78"/>
  <c r="BA76"/>
  <c r="BA69"/>
  <c r="P69" l="1"/>
  <c r="R69"/>
  <c r="U69"/>
  <c r="AX69"/>
  <c r="E69"/>
  <c r="N69"/>
  <c r="AW69"/>
  <c r="Q69"/>
  <c r="AY69"/>
  <c r="F69"/>
  <c r="M69"/>
  <c r="D69"/>
  <c r="AV69"/>
  <c r="AU69"/>
  <c r="S69"/>
  <c r="H69"/>
  <c r="G69"/>
  <c r="K69"/>
  <c r="I69"/>
  <c r="J69"/>
  <c r="T69"/>
  <c r="L69"/>
  <c r="O69"/>
  <c r="L75"/>
  <c r="F75"/>
  <c r="D75"/>
  <c r="Q75"/>
  <c r="M75"/>
  <c r="E75"/>
  <c r="J75"/>
  <c r="I75"/>
  <c r="R75"/>
  <c r="AY75"/>
  <c r="K75"/>
  <c r="P75"/>
  <c r="H75"/>
  <c r="O75"/>
  <c r="S75"/>
  <c r="T75"/>
  <c r="U75"/>
  <c r="AX75"/>
  <c r="N75"/>
  <c r="AW75"/>
  <c r="AV75"/>
  <c r="G75"/>
  <c r="AU75"/>
  <c r="G64"/>
  <c r="R64"/>
  <c r="L64"/>
  <c r="M64"/>
  <c r="AU64"/>
  <c r="J64"/>
  <c r="S64"/>
  <c r="D64"/>
  <c r="AX64"/>
  <c r="P64"/>
  <c r="AV64"/>
  <c r="H64"/>
  <c r="Q64"/>
  <c r="AW64"/>
  <c r="T64"/>
  <c r="U64"/>
  <c r="F64"/>
  <c r="O64"/>
  <c r="AY64"/>
  <c r="N64"/>
  <c r="E64"/>
  <c r="I64"/>
  <c r="K64"/>
  <c r="AV53"/>
  <c r="N53"/>
  <c r="AY53"/>
  <c r="K53"/>
  <c r="I53"/>
  <c r="S53"/>
  <c r="AW53"/>
  <c r="T53"/>
  <c r="M53"/>
  <c r="F53"/>
  <c r="H53"/>
  <c r="O53"/>
  <c r="D53"/>
  <c r="G53"/>
  <c r="Q53"/>
  <c r="AU53"/>
  <c r="P53"/>
  <c r="E53"/>
  <c r="AX53"/>
  <c r="J53"/>
  <c r="L53"/>
  <c r="R53"/>
  <c r="U53"/>
  <c r="AV61"/>
  <c r="M61"/>
  <c r="Q61"/>
  <c r="H61"/>
  <c r="K61"/>
  <c r="R61"/>
  <c r="O61"/>
  <c r="T61"/>
  <c r="I61"/>
  <c r="S61"/>
  <c r="L61"/>
  <c r="D61"/>
  <c r="F61"/>
  <c r="N61"/>
  <c r="U61"/>
  <c r="AY61"/>
  <c r="AX61"/>
  <c r="AW61"/>
  <c r="E61"/>
  <c r="AU61"/>
  <c r="G61"/>
  <c r="J61"/>
  <c r="P61"/>
  <c r="AW57"/>
  <c r="U57"/>
  <c r="T57"/>
  <c r="O57"/>
  <c r="L57"/>
  <c r="S57"/>
  <c r="AX57"/>
  <c r="AY57"/>
  <c r="P57"/>
  <c r="F57"/>
  <c r="H57"/>
  <c r="K57"/>
  <c r="J57"/>
  <c r="N57"/>
  <c r="D57"/>
  <c r="AV57"/>
  <c r="R57"/>
  <c r="I57"/>
  <c r="M57"/>
  <c r="E57"/>
  <c r="G57"/>
  <c r="Q57"/>
  <c r="AU57"/>
  <c r="AY54"/>
  <c r="T54"/>
  <c r="AU54"/>
  <c r="N54"/>
  <c r="L54"/>
  <c r="O54"/>
  <c r="F54"/>
  <c r="AW54"/>
  <c r="K54"/>
  <c r="AV54"/>
  <c r="AX54"/>
  <c r="D54"/>
  <c r="P54"/>
  <c r="J54"/>
  <c r="Q54"/>
  <c r="U54"/>
  <c r="I54"/>
  <c r="M54"/>
  <c r="R54"/>
  <c r="G54"/>
  <c r="H54"/>
  <c r="E54"/>
  <c r="S54"/>
  <c r="E47"/>
  <c r="AW47"/>
  <c r="AU47"/>
  <c r="H47"/>
  <c r="T47"/>
  <c r="I47"/>
  <c r="AX47"/>
  <c r="P47"/>
  <c r="J47"/>
  <c r="N47"/>
  <c r="L47"/>
  <c r="R47"/>
  <c r="O47"/>
  <c r="K47"/>
  <c r="Q47"/>
  <c r="AV47"/>
  <c r="U47"/>
  <c r="M47"/>
  <c r="AY47"/>
  <c r="D47"/>
  <c r="F47"/>
  <c r="G47"/>
  <c r="S47"/>
  <c r="I55"/>
  <c r="U55"/>
  <c r="AW55"/>
  <c r="N55"/>
  <c r="M55"/>
  <c r="D55"/>
  <c r="K55"/>
  <c r="L55"/>
  <c r="E55"/>
  <c r="S55"/>
  <c r="AU55"/>
  <c r="O55"/>
  <c r="AX55"/>
  <c r="AY55"/>
  <c r="R55"/>
  <c r="H55"/>
  <c r="F55"/>
  <c r="P55"/>
  <c r="G55"/>
  <c r="AV55"/>
  <c r="J55"/>
  <c r="Q55"/>
  <c r="T55"/>
  <c r="K36"/>
  <c r="AU36"/>
  <c r="H36"/>
  <c r="O36"/>
  <c r="S36"/>
  <c r="P36"/>
  <c r="Q36"/>
  <c r="M36"/>
  <c r="AY36"/>
  <c r="G36"/>
  <c r="J36"/>
  <c r="F36"/>
  <c r="U36"/>
  <c r="AW36"/>
  <c r="I36"/>
  <c r="N36"/>
  <c r="L36"/>
  <c r="D36"/>
  <c r="E36"/>
  <c r="AV36"/>
  <c r="T36"/>
  <c r="R36"/>
  <c r="AX36"/>
  <c r="H71"/>
  <c r="AU71"/>
  <c r="T71"/>
  <c r="Q71"/>
  <c r="E71"/>
  <c r="AX71"/>
  <c r="P71"/>
  <c r="D71"/>
  <c r="AW71"/>
  <c r="K71"/>
  <c r="I71"/>
  <c r="R71"/>
  <c r="O71"/>
  <c r="S71"/>
  <c r="AV71"/>
  <c r="G71"/>
  <c r="AY71"/>
  <c r="L71"/>
  <c r="J71"/>
  <c r="N71"/>
  <c r="M71"/>
  <c r="U71"/>
  <c r="F71"/>
  <c r="D21"/>
  <c r="T21"/>
  <c r="L21"/>
  <c r="M21"/>
  <c r="R21"/>
  <c r="H21"/>
  <c r="K21"/>
  <c r="AY21"/>
  <c r="P21"/>
  <c r="U21"/>
  <c r="S21"/>
  <c r="AX21"/>
  <c r="AU21"/>
  <c r="AV21"/>
  <c r="AW21"/>
  <c r="I21"/>
  <c r="J21"/>
  <c r="Q21"/>
  <c r="N21"/>
  <c r="E21"/>
  <c r="G21"/>
  <c r="O21"/>
  <c r="F21"/>
  <c r="T74"/>
  <c r="AV74"/>
  <c r="I74"/>
  <c r="J74"/>
  <c r="N74"/>
  <c r="P74"/>
  <c r="F74"/>
  <c r="AY74"/>
  <c r="M74"/>
  <c r="S74"/>
  <c r="K74"/>
  <c r="L74"/>
  <c r="D74"/>
  <c r="AU74"/>
  <c r="AX74"/>
  <c r="AW74"/>
  <c r="U74"/>
  <c r="R74"/>
  <c r="G74"/>
  <c r="O74"/>
  <c r="Q74"/>
  <c r="E74"/>
  <c r="H74"/>
  <c r="S35"/>
  <c r="T35"/>
  <c r="F35"/>
  <c r="AX35"/>
  <c r="G35"/>
  <c r="AV35"/>
  <c r="U35"/>
  <c r="E35"/>
  <c r="P35"/>
  <c r="H35"/>
  <c r="J35"/>
  <c r="K35"/>
  <c r="AW35"/>
  <c r="N35"/>
  <c r="Q35"/>
  <c r="L35"/>
  <c r="AY35"/>
  <c r="R35"/>
  <c r="M35"/>
  <c r="D35"/>
  <c r="I35"/>
  <c r="O35"/>
  <c r="AU35"/>
  <c r="H67"/>
  <c r="J67"/>
  <c r="AW67"/>
  <c r="AX67"/>
  <c r="E67"/>
  <c r="AU67"/>
  <c r="Q67"/>
  <c r="AY67"/>
  <c r="U67"/>
  <c r="I67"/>
  <c r="AV67"/>
  <c r="S67"/>
  <c r="P67"/>
  <c r="K67"/>
  <c r="D67"/>
  <c r="L67"/>
  <c r="N67"/>
  <c r="M67"/>
  <c r="G67"/>
  <c r="F67"/>
  <c r="O67"/>
  <c r="T67"/>
  <c r="R67"/>
  <c r="H32"/>
  <c r="AV32"/>
  <c r="P32"/>
  <c r="I32"/>
  <c r="AW32"/>
  <c r="J32"/>
  <c r="N32"/>
  <c r="AU32"/>
  <c r="E32"/>
  <c r="O32"/>
  <c r="F32"/>
  <c r="L32"/>
  <c r="K32"/>
  <c r="AX32"/>
  <c r="Q32"/>
  <c r="U32"/>
  <c r="AY32"/>
  <c r="D32"/>
  <c r="G32"/>
  <c r="S32"/>
  <c r="R32"/>
  <c r="T32"/>
  <c r="M32"/>
  <c r="E60"/>
  <c r="K60"/>
  <c r="J60"/>
  <c r="I60"/>
  <c r="H60"/>
  <c r="G60"/>
  <c r="N60"/>
  <c r="R60"/>
  <c r="AU60"/>
  <c r="T60"/>
  <c r="AX60"/>
  <c r="L60"/>
  <c r="AW60"/>
  <c r="P60"/>
  <c r="S60"/>
  <c r="D60"/>
  <c r="Q60"/>
  <c r="AY60"/>
  <c r="U60"/>
  <c r="M60"/>
  <c r="F60"/>
  <c r="AV60"/>
  <c r="O60"/>
  <c r="AX24"/>
  <c r="Q24"/>
  <c r="F24"/>
  <c r="S24"/>
  <c r="P24"/>
  <c r="AU24"/>
  <c r="M24"/>
  <c r="AW24"/>
  <c r="K24"/>
  <c r="O24"/>
  <c r="E24"/>
  <c r="G24"/>
  <c r="D24"/>
  <c r="H24"/>
  <c r="T24"/>
  <c r="U24"/>
  <c r="I24"/>
  <c r="R24"/>
  <c r="AV24"/>
  <c r="AY24"/>
  <c r="J24"/>
  <c r="N24"/>
  <c r="L24"/>
  <c r="Q43"/>
  <c r="M43"/>
  <c r="AU43"/>
  <c r="I43"/>
  <c r="O43"/>
  <c r="T43"/>
  <c r="AY43"/>
  <c r="K43"/>
  <c r="U43"/>
  <c r="L43"/>
  <c r="AV43"/>
  <c r="N43"/>
  <c r="AW43"/>
  <c r="AX43"/>
  <c r="D43"/>
  <c r="F43"/>
  <c r="E43"/>
  <c r="J43"/>
  <c r="G43"/>
  <c r="P43"/>
  <c r="S43"/>
  <c r="H43"/>
  <c r="R43"/>
  <c r="Q33"/>
  <c r="K33"/>
  <c r="R33"/>
  <c r="AX33"/>
  <c r="U33"/>
  <c r="AU33"/>
  <c r="AV33"/>
  <c r="P33"/>
  <c r="G33"/>
  <c r="M33"/>
  <c r="D33"/>
  <c r="F33"/>
  <c r="S33"/>
  <c r="T33"/>
  <c r="N33"/>
  <c r="I33"/>
  <c r="J33"/>
  <c r="E33"/>
  <c r="AW33"/>
  <c r="H33"/>
  <c r="L33"/>
  <c r="O33"/>
  <c r="AY33"/>
  <c r="AU73"/>
  <c r="M73"/>
  <c r="Q73"/>
  <c r="T73"/>
  <c r="N73"/>
  <c r="D73"/>
  <c r="AY73"/>
  <c r="J73"/>
  <c r="F73"/>
  <c r="L73"/>
  <c r="P73"/>
  <c r="E73"/>
  <c r="H73"/>
  <c r="AW73"/>
  <c r="U73"/>
  <c r="AX73"/>
  <c r="I73"/>
  <c r="S73"/>
  <c r="O73"/>
  <c r="K73"/>
  <c r="G73"/>
  <c r="AV73"/>
  <c r="R73"/>
  <c r="T58"/>
  <c r="R58"/>
  <c r="AU58"/>
  <c r="AW58"/>
  <c r="J58"/>
  <c r="O58"/>
  <c r="M58"/>
  <c r="Q58"/>
  <c r="I58"/>
  <c r="AV58"/>
  <c r="U58"/>
  <c r="E58"/>
  <c r="L58"/>
  <c r="N58"/>
  <c r="P58"/>
  <c r="S58"/>
  <c r="G58"/>
  <c r="D58"/>
  <c r="F58"/>
  <c r="K58"/>
  <c r="AX58"/>
  <c r="H58"/>
  <c r="AY58"/>
  <c r="H38"/>
  <c r="S38"/>
  <c r="I38"/>
  <c r="R38"/>
  <c r="G38"/>
  <c r="Q38"/>
  <c r="D38"/>
  <c r="AX38"/>
  <c r="AW38"/>
  <c r="K38"/>
  <c r="AU38"/>
  <c r="N38"/>
  <c r="J38"/>
  <c r="E38"/>
  <c r="AY38"/>
  <c r="P38"/>
  <c r="AV38"/>
  <c r="U38"/>
  <c r="M38"/>
  <c r="F38"/>
  <c r="T38"/>
  <c r="L38"/>
  <c r="O38"/>
  <c r="I44"/>
  <c r="E44"/>
  <c r="F44"/>
  <c r="M44"/>
  <c r="G44"/>
  <c r="Q44"/>
  <c r="P44"/>
  <c r="D44"/>
  <c r="S44"/>
  <c r="T44"/>
  <c r="L44"/>
  <c r="AV44"/>
  <c r="AX44"/>
  <c r="U44"/>
  <c r="AU44"/>
  <c r="R44"/>
  <c r="K44"/>
  <c r="J44"/>
  <c r="AY44"/>
  <c r="AW44"/>
  <c r="O44"/>
  <c r="N44"/>
  <c r="H44"/>
  <c r="D41"/>
  <c r="AX41"/>
  <c r="F41"/>
  <c r="L41"/>
  <c r="S41"/>
  <c r="G41"/>
  <c r="J41"/>
  <c r="AY41"/>
  <c r="R41"/>
  <c r="AW41"/>
  <c r="H41"/>
  <c r="Q41"/>
  <c r="AV41"/>
  <c r="O41"/>
  <c r="N41"/>
  <c r="K41"/>
  <c r="I41"/>
  <c r="U41"/>
  <c r="T41"/>
  <c r="AU41"/>
  <c r="M41"/>
  <c r="P41"/>
  <c r="E41"/>
  <c r="L77"/>
  <c r="AW77"/>
  <c r="R77"/>
  <c r="F77"/>
  <c r="D77"/>
  <c r="AV77"/>
  <c r="U77"/>
  <c r="T77"/>
  <c r="AU77"/>
  <c r="Q77"/>
  <c r="AX77"/>
  <c r="O77"/>
  <c r="N77"/>
  <c r="K77"/>
  <c r="J77"/>
  <c r="S77"/>
  <c r="I77"/>
  <c r="G77"/>
  <c r="P77"/>
  <c r="H77"/>
  <c r="AY77"/>
  <c r="E77"/>
  <c r="M77"/>
  <c r="O28"/>
  <c r="R28"/>
  <c r="K28"/>
  <c r="AV28"/>
  <c r="S28"/>
  <c r="J28"/>
  <c r="N28"/>
  <c r="L28"/>
  <c r="H28"/>
  <c r="T28"/>
  <c r="F28"/>
  <c r="AY28"/>
  <c r="U28"/>
  <c r="I28"/>
  <c r="Q28"/>
  <c r="AX28"/>
  <c r="P28"/>
  <c r="AU28"/>
  <c r="M28"/>
  <c r="E28"/>
  <c r="D28"/>
  <c r="AW28"/>
  <c r="G28"/>
  <c r="D26"/>
  <c r="F26"/>
  <c r="P26"/>
  <c r="AW26"/>
  <c r="O26"/>
  <c r="M26"/>
  <c r="AY26"/>
  <c r="Q26"/>
  <c r="N26"/>
  <c r="R26"/>
  <c r="U26"/>
  <c r="S26"/>
  <c r="E26"/>
  <c r="AX26"/>
  <c r="J26"/>
  <c r="T26"/>
  <c r="H26"/>
  <c r="I26"/>
  <c r="K26"/>
  <c r="G26"/>
  <c r="AV26"/>
  <c r="L26"/>
  <c r="AU26"/>
  <c r="J78"/>
  <c r="F78"/>
  <c r="T78"/>
  <c r="H78"/>
  <c r="AY78"/>
  <c r="K78"/>
  <c r="Q78"/>
  <c r="U78"/>
  <c r="L78"/>
  <c r="AX78"/>
  <c r="P78"/>
  <c r="M78"/>
  <c r="R78"/>
  <c r="G78"/>
  <c r="D78"/>
  <c r="AV78"/>
  <c r="S78"/>
  <c r="N78"/>
  <c r="E78"/>
  <c r="AW78"/>
  <c r="I78"/>
  <c r="AU78"/>
  <c r="O78"/>
  <c r="K76"/>
  <c r="AV76"/>
  <c r="D76"/>
  <c r="P76"/>
  <c r="AY76"/>
  <c r="M76"/>
  <c r="S76"/>
  <c r="F76"/>
  <c r="L76"/>
  <c r="T76"/>
  <c r="AX76"/>
  <c r="G76"/>
  <c r="U76"/>
  <c r="E76"/>
  <c r="I76"/>
  <c r="J76"/>
  <c r="AW76"/>
  <c r="R76"/>
  <c r="Q76"/>
  <c r="AU76"/>
  <c r="O76"/>
  <c r="N76"/>
  <c r="H76"/>
  <c r="T65"/>
  <c r="AX65"/>
  <c r="R65"/>
  <c r="N65"/>
  <c r="O65"/>
  <c r="H65"/>
  <c r="U65"/>
  <c r="AY65"/>
  <c r="D65"/>
  <c r="Q65"/>
  <c r="M65"/>
  <c r="J65"/>
  <c r="AV65"/>
  <c r="P65"/>
  <c r="E65"/>
  <c r="K65"/>
  <c r="I65"/>
  <c r="AU65"/>
  <c r="AW65"/>
  <c r="G65"/>
  <c r="S65"/>
  <c r="L65"/>
  <c r="F65"/>
  <c r="F66"/>
  <c r="AV66"/>
  <c r="H66"/>
  <c r="AX66"/>
  <c r="AY66"/>
  <c r="AU66"/>
  <c r="K66"/>
  <c r="J66"/>
  <c r="N66"/>
  <c r="AW66"/>
  <c r="D66"/>
  <c r="M66"/>
  <c r="T66"/>
  <c r="U66"/>
  <c r="S66"/>
  <c r="Q66"/>
  <c r="P66"/>
  <c r="L66"/>
  <c r="R66"/>
  <c r="I66"/>
  <c r="E66"/>
  <c r="O66"/>
  <c r="G66"/>
  <c r="I56"/>
  <c r="J56"/>
  <c r="G56"/>
  <c r="O56"/>
  <c r="AU56"/>
  <c r="S56"/>
  <c r="D56"/>
  <c r="AX56"/>
  <c r="R56"/>
  <c r="T56"/>
  <c r="N56"/>
  <c r="P56"/>
  <c r="AV56"/>
  <c r="AY56"/>
  <c r="M56"/>
  <c r="AW56"/>
  <c r="E56"/>
  <c r="H56"/>
  <c r="U56"/>
  <c r="F56"/>
  <c r="L56"/>
  <c r="K56"/>
  <c r="Q56"/>
  <c r="I20"/>
  <c r="J20"/>
  <c r="N20"/>
  <c r="AY20"/>
  <c r="L20"/>
  <c r="T20"/>
  <c r="Q20"/>
  <c r="R20"/>
  <c r="D20"/>
  <c r="K20"/>
  <c r="U20"/>
  <c r="G20"/>
  <c r="P20"/>
  <c r="O20"/>
  <c r="S20"/>
  <c r="M20"/>
  <c r="H20"/>
  <c r="F20"/>
  <c r="AV20"/>
  <c r="AU20"/>
  <c r="E20"/>
  <c r="AW20"/>
  <c r="AX20"/>
  <c r="P63"/>
  <c r="Q63"/>
  <c r="F63"/>
  <c r="T63"/>
  <c r="D63"/>
  <c r="G63"/>
  <c r="I63"/>
  <c r="R63"/>
  <c r="S63"/>
  <c r="U63"/>
  <c r="L63"/>
  <c r="AX63"/>
  <c r="N63"/>
  <c r="AY63"/>
  <c r="E63"/>
  <c r="J63"/>
  <c r="M63"/>
  <c r="AV63"/>
  <c r="O63"/>
  <c r="AW63"/>
  <c r="H63"/>
  <c r="AU63"/>
  <c r="K63"/>
  <c r="S34"/>
  <c r="T34"/>
  <c r="D34"/>
  <c r="AX34"/>
  <c r="U34"/>
  <c r="N34"/>
  <c r="R34"/>
  <c r="H34"/>
  <c r="F34"/>
  <c r="AY34"/>
  <c r="Q34"/>
  <c r="K34"/>
  <c r="I34"/>
  <c r="J34"/>
  <c r="AW34"/>
  <c r="G34"/>
  <c r="E34"/>
  <c r="AU34"/>
  <c r="L34"/>
  <c r="M34"/>
  <c r="P34"/>
  <c r="O34"/>
  <c r="AV34"/>
  <c r="K62"/>
  <c r="F62"/>
  <c r="AX62"/>
  <c r="AW62"/>
  <c r="J62"/>
  <c r="U62"/>
  <c r="L62"/>
  <c r="AY62"/>
  <c r="M62"/>
  <c r="AU62"/>
  <c r="H62"/>
  <c r="S62"/>
  <c r="O62"/>
  <c r="AV62"/>
  <c r="R62"/>
  <c r="I62"/>
  <c r="Q62"/>
  <c r="G62"/>
  <c r="E62"/>
  <c r="D62"/>
  <c r="P62"/>
  <c r="T62"/>
  <c r="N62"/>
  <c r="AY39"/>
  <c r="P39"/>
  <c r="H39"/>
  <c r="N39"/>
  <c r="S39"/>
  <c r="AW39"/>
  <c r="J39"/>
  <c r="Q39"/>
  <c r="O39"/>
  <c r="M39"/>
  <c r="L39"/>
  <c r="D39"/>
  <c r="T39"/>
  <c r="AX39"/>
  <c r="I39"/>
  <c r="E39"/>
  <c r="U39"/>
  <c r="AV39"/>
  <c r="K39"/>
  <c r="R39"/>
  <c r="F39"/>
  <c r="AU39"/>
  <c r="G39"/>
  <c r="AX59"/>
  <c r="J59"/>
  <c r="H59"/>
  <c r="T59"/>
  <c r="N59"/>
  <c r="Q59"/>
  <c r="AV59"/>
  <c r="S59"/>
  <c r="D59"/>
  <c r="U59"/>
  <c r="G59"/>
  <c r="K59"/>
  <c r="L59"/>
  <c r="F59"/>
  <c r="AY59"/>
  <c r="M59"/>
  <c r="R59"/>
  <c r="P59"/>
  <c r="I59"/>
  <c r="E59"/>
  <c r="AU59"/>
  <c r="AW59"/>
  <c r="O59"/>
  <c r="E40"/>
  <c r="AV40"/>
  <c r="G40"/>
  <c r="J40"/>
  <c r="K40"/>
  <c r="U40"/>
  <c r="R40"/>
  <c r="AX40"/>
  <c r="S40"/>
  <c r="F40"/>
  <c r="AW40"/>
  <c r="AU40"/>
  <c r="P40"/>
  <c r="M40"/>
  <c r="L40"/>
  <c r="AY40"/>
  <c r="T40"/>
  <c r="D40"/>
  <c r="O40"/>
  <c r="I40"/>
  <c r="H40"/>
  <c r="N40"/>
  <c r="Q40"/>
  <c r="U72"/>
  <c r="AU72"/>
  <c r="R72"/>
  <c r="E72"/>
  <c r="Q72"/>
  <c r="G72"/>
  <c r="AY72"/>
  <c r="AV72"/>
  <c r="P72"/>
  <c r="J72"/>
  <c r="I72"/>
  <c r="S72"/>
  <c r="K72"/>
  <c r="F72"/>
  <c r="T72"/>
  <c r="D72"/>
  <c r="O72"/>
  <c r="M72"/>
  <c r="AX72"/>
  <c r="H72"/>
  <c r="AW72"/>
  <c r="L72"/>
  <c r="N72"/>
  <c r="AV22"/>
  <c r="D22"/>
  <c r="R22"/>
  <c r="L22"/>
  <c r="N22"/>
  <c r="F22"/>
  <c r="U22"/>
  <c r="H22"/>
  <c r="K22"/>
  <c r="J22"/>
  <c r="S22"/>
  <c r="AU22"/>
  <c r="T22"/>
  <c r="P22"/>
  <c r="M22"/>
  <c r="E22"/>
  <c r="I22"/>
  <c r="G22"/>
  <c r="AX22"/>
  <c r="Q22"/>
  <c r="AY22"/>
  <c r="O22"/>
  <c r="AW22"/>
  <c r="AV25"/>
  <c r="E25"/>
  <c r="S25"/>
  <c r="AU25"/>
  <c r="L25"/>
  <c r="H25"/>
  <c r="R25"/>
  <c r="Q25"/>
  <c r="P25"/>
  <c r="J25"/>
  <c r="AX25"/>
  <c r="D25"/>
  <c r="T25"/>
  <c r="O25"/>
  <c r="AY25"/>
  <c r="M25"/>
  <c r="F25"/>
  <c r="K25"/>
  <c r="G25"/>
  <c r="U25"/>
  <c r="AW25"/>
  <c r="N25"/>
  <c r="I25"/>
  <c r="E30"/>
  <c r="K30"/>
  <c r="D30"/>
  <c r="AX30"/>
  <c r="J30"/>
  <c r="I30"/>
  <c r="M30"/>
  <c r="U30"/>
  <c r="F30"/>
  <c r="H30"/>
  <c r="N30"/>
  <c r="AW30"/>
  <c r="AY30"/>
  <c r="AV30"/>
  <c r="AU30"/>
  <c r="S30"/>
  <c r="L30"/>
  <c r="R30"/>
  <c r="G30"/>
  <c r="P30"/>
  <c r="T30"/>
  <c r="Q30"/>
  <c r="O30"/>
  <c r="O48"/>
  <c r="N48"/>
  <c r="S48"/>
  <c r="T48"/>
  <c r="P48"/>
  <c r="F48"/>
  <c r="J48"/>
  <c r="AY48"/>
  <c r="AX48"/>
  <c r="E48"/>
  <c r="Q48"/>
  <c r="K48"/>
  <c r="R48"/>
  <c r="G48"/>
  <c r="I48"/>
  <c r="L48"/>
  <c r="M48"/>
  <c r="AU48"/>
  <c r="U48"/>
  <c r="AV48"/>
  <c r="D48"/>
  <c r="H48"/>
  <c r="AW48"/>
  <c r="AV42"/>
  <c r="D42"/>
  <c r="AY42"/>
  <c r="T42"/>
  <c r="K42"/>
  <c r="F42"/>
  <c r="E42"/>
  <c r="I42"/>
  <c r="AW42"/>
  <c r="L42"/>
  <c r="AX42"/>
  <c r="AU42"/>
  <c r="J42"/>
  <c r="O42"/>
  <c r="P42"/>
  <c r="N42"/>
  <c r="S42"/>
  <c r="U42"/>
  <c r="M42"/>
  <c r="H42"/>
  <c r="Q42"/>
  <c r="R42"/>
  <c r="G42"/>
  <c r="I49"/>
  <c r="E49"/>
  <c r="G49"/>
  <c r="U49"/>
  <c r="S49"/>
  <c r="N49"/>
  <c r="J49"/>
  <c r="O49"/>
  <c r="AX49"/>
  <c r="P49"/>
  <c r="K49"/>
  <c r="D49"/>
  <c r="AU49"/>
  <c r="AV49"/>
  <c r="F49"/>
  <c r="Q49"/>
  <c r="L49"/>
  <c r="M49"/>
  <c r="AW49"/>
  <c r="AY49"/>
  <c r="H49"/>
  <c r="R49"/>
  <c r="T49"/>
  <c r="H29"/>
  <c r="R29"/>
  <c r="K29"/>
  <c r="AW29"/>
  <c r="AV29"/>
  <c r="P29"/>
  <c r="Q29"/>
  <c r="T29"/>
  <c r="F29"/>
  <c r="E29"/>
  <c r="M29"/>
  <c r="AX29"/>
  <c r="D29"/>
  <c r="S29"/>
  <c r="L29"/>
  <c r="AY29"/>
  <c r="U29"/>
  <c r="O29"/>
  <c r="N29"/>
  <c r="AU29"/>
  <c r="J29"/>
  <c r="I29"/>
  <c r="G29"/>
  <c r="T31"/>
  <c r="G31"/>
  <c r="O31"/>
  <c r="L31"/>
  <c r="F31"/>
  <c r="U31"/>
  <c r="J31"/>
  <c r="AV31"/>
  <c r="D31"/>
  <c r="M31"/>
  <c r="S31"/>
  <c r="R31"/>
  <c r="AW31"/>
  <c r="E31"/>
  <c r="Q31"/>
  <c r="H31"/>
  <c r="N31"/>
  <c r="AX31"/>
  <c r="K31"/>
  <c r="I31"/>
  <c r="AY31"/>
  <c r="AU31"/>
  <c r="P31"/>
  <c r="L46"/>
  <c r="I46"/>
  <c r="U46"/>
  <c r="AW46"/>
  <c r="Q46"/>
  <c r="G46"/>
  <c r="N46"/>
  <c r="D46"/>
  <c r="E46"/>
  <c r="AV46"/>
  <c r="P46"/>
  <c r="J46"/>
  <c r="AX46"/>
  <c r="S46"/>
  <c r="M46"/>
  <c r="O46"/>
  <c r="F46"/>
  <c r="K46"/>
  <c r="H46"/>
  <c r="T46"/>
  <c r="AU46"/>
  <c r="R46"/>
  <c r="AY46"/>
  <c r="O52"/>
  <c r="H52"/>
  <c r="Q52"/>
  <c r="R52"/>
  <c r="N52"/>
  <c r="P52"/>
  <c r="D52"/>
  <c r="AY52"/>
  <c r="AV52"/>
  <c r="S52"/>
  <c r="G52"/>
  <c r="AX52"/>
  <c r="F52"/>
  <c r="L52"/>
  <c r="U52"/>
  <c r="K52"/>
  <c r="I52"/>
  <c r="AW52"/>
  <c r="T52"/>
  <c r="AU52"/>
  <c r="M52"/>
  <c r="J52"/>
  <c r="E52"/>
  <c r="AX23"/>
  <c r="AU23"/>
  <c r="AV23"/>
  <c r="R23"/>
  <c r="P23"/>
  <c r="AY23"/>
  <c r="Q23"/>
  <c r="F23"/>
  <c r="E23"/>
  <c r="K23"/>
  <c r="U23"/>
  <c r="O23"/>
  <c r="G23"/>
  <c r="H23"/>
  <c r="M23"/>
  <c r="N23"/>
  <c r="T23"/>
  <c r="I23"/>
  <c r="L23"/>
  <c r="AW23"/>
  <c r="J23"/>
  <c r="D23"/>
  <c r="S23"/>
  <c r="Q70"/>
  <c r="I70"/>
  <c r="L70"/>
  <c r="R70"/>
  <c r="E70"/>
  <c r="J70"/>
  <c r="N70"/>
  <c r="K70"/>
  <c r="AW70"/>
  <c r="AY70"/>
  <c r="F70"/>
  <c r="T70"/>
  <c r="O70"/>
  <c r="AV70"/>
  <c r="H70"/>
  <c r="S70"/>
  <c r="D70"/>
  <c r="G70"/>
  <c r="M70"/>
  <c r="AX70"/>
  <c r="U70"/>
  <c r="AU70"/>
  <c r="P70"/>
  <c r="P27"/>
  <c r="F27"/>
  <c r="T27"/>
  <c r="U27"/>
  <c r="AU27"/>
  <c r="D27"/>
  <c r="AY27"/>
  <c r="AX27"/>
  <c r="H27"/>
  <c r="I27"/>
  <c r="AV27"/>
  <c r="S27"/>
  <c r="N27"/>
  <c r="O27"/>
  <c r="K27"/>
  <c r="Q27"/>
  <c r="G27"/>
  <c r="M27"/>
  <c r="R27"/>
  <c r="L27"/>
  <c r="AW27"/>
  <c r="J27"/>
  <c r="E27"/>
  <c r="H45"/>
  <c r="Q45"/>
  <c r="F45"/>
  <c r="P45"/>
  <c r="J45"/>
  <c r="M45"/>
  <c r="D45"/>
  <c r="AY45"/>
  <c r="T45"/>
  <c r="L45"/>
  <c r="AU45"/>
  <c r="K45"/>
  <c r="R45"/>
  <c r="E45"/>
  <c r="G45"/>
  <c r="U45"/>
  <c r="AW45"/>
  <c r="O45"/>
  <c r="N45"/>
  <c r="S45"/>
  <c r="AV45"/>
  <c r="I45"/>
  <c r="AX45"/>
  <c r="AU68"/>
  <c r="AY68"/>
  <c r="D68"/>
  <c r="AW68"/>
  <c r="P68"/>
  <c r="U68"/>
  <c r="N68"/>
  <c r="O68"/>
  <c r="L68"/>
  <c r="F68"/>
  <c r="AX68"/>
  <c r="S68"/>
  <c r="G68"/>
  <c r="R68"/>
  <c r="M68"/>
  <c r="Q68"/>
  <c r="AV68"/>
  <c r="E68"/>
  <c r="H68"/>
  <c r="J68"/>
  <c r="T68"/>
  <c r="I68"/>
  <c r="K68"/>
  <c r="Q51"/>
  <c r="N51"/>
  <c r="M51"/>
  <c r="AY51"/>
  <c r="H51"/>
  <c r="O51"/>
  <c r="E51"/>
  <c r="U51"/>
  <c r="D51"/>
  <c r="AW51"/>
  <c r="AV51"/>
  <c r="L51"/>
  <c r="P51"/>
  <c r="J51"/>
  <c r="R51"/>
  <c r="T51"/>
  <c r="F51"/>
  <c r="S51"/>
  <c r="K51"/>
  <c r="AX51"/>
  <c r="AU51"/>
  <c r="G51"/>
  <c r="I51"/>
  <c r="S37"/>
  <c r="AW37"/>
  <c r="AX37"/>
  <c r="T37"/>
  <c r="N37"/>
  <c r="Q37"/>
  <c r="F37"/>
  <c r="L37"/>
  <c r="U37"/>
  <c r="AV37"/>
  <c r="K37"/>
  <c r="AU37"/>
  <c r="M37"/>
  <c r="AY37"/>
  <c r="D37"/>
  <c r="J37"/>
  <c r="I37"/>
  <c r="P37"/>
  <c r="O37"/>
  <c r="H37"/>
  <c r="E37"/>
  <c r="G37"/>
  <c r="R37"/>
  <c r="U36" i="60" l="1"/>
  <c r="T28"/>
  <c r="V27"/>
  <c r="T27"/>
  <c r="X34"/>
  <c r="X36"/>
  <c r="U33"/>
  <c r="U28"/>
  <c r="W28"/>
  <c r="X28"/>
  <c r="V32"/>
  <c r="T33"/>
  <c r="W34"/>
  <c r="W36"/>
  <c r="W33"/>
  <c r="X33"/>
  <c r="W32"/>
  <c r="W31" s="1"/>
  <c r="T32"/>
  <c r="V28"/>
  <c r="V34"/>
  <c r="V36"/>
  <c r="X32"/>
  <c r="X31" s="1"/>
  <c r="U34"/>
  <c r="T29"/>
  <c r="U27"/>
  <c r="X27"/>
  <c r="T34"/>
  <c r="V33"/>
  <c r="W27"/>
  <c r="W26"/>
  <c r="T36"/>
  <c r="U32"/>
  <c r="U31" s="1"/>
  <c r="V26"/>
  <c r="V25" s="1"/>
  <c r="X26"/>
  <c r="X25" s="1"/>
  <c r="U26"/>
  <c r="U25" s="1"/>
  <c r="T26"/>
  <c r="W25" l="1"/>
  <c r="L36"/>
  <c r="K36"/>
  <c r="J36"/>
  <c r="I36"/>
  <c r="H36"/>
  <c r="J34"/>
  <c r="L34"/>
  <c r="I34"/>
  <c r="H34"/>
  <c r="K34"/>
  <c r="V31"/>
  <c r="T25"/>
  <c r="L26"/>
  <c r="H26"/>
  <c r="I26"/>
  <c r="J26"/>
  <c r="K26"/>
  <c r="H29"/>
  <c r="I29"/>
  <c r="T31"/>
  <c r="L32"/>
  <c r="L31" s="1"/>
  <c r="K32"/>
  <c r="K31" s="1"/>
  <c r="J32"/>
  <c r="H32"/>
  <c r="I32"/>
  <c r="I33"/>
  <c r="H33"/>
  <c r="L27"/>
  <c r="I27"/>
  <c r="K27"/>
  <c r="H27"/>
  <c r="I28"/>
  <c r="K28"/>
  <c r="J28"/>
  <c r="H28"/>
  <c r="L28"/>
  <c r="J27"/>
  <c r="H31" l="1"/>
  <c r="J25"/>
  <c r="I31"/>
  <c r="J31"/>
  <c r="K25"/>
  <c r="K38" s="1"/>
  <c r="I25"/>
  <c r="L25"/>
  <c r="H25"/>
  <c r="J45" l="1"/>
  <c r="L38"/>
  <c r="J40"/>
  <c r="H38"/>
  <c r="J43"/>
  <c r="J38"/>
  <c r="I38"/>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<sst xmlns="http://schemas.openxmlformats.org/spreadsheetml/2006/main" count="8930" uniqueCount="1856">
  <si>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</si>
  <si>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</si>
  <si>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</si>
  <si>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</si>
  <si>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</si>
  <si>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</si>
  <si>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</si>
  <si>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</si>
  <si>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</si>
  <si>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</si>
  <si>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</si>
  <si>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</si>
  <si>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</si>
  <si>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</si>
  <si>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</si>
  <si>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</si>
  <si>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</si>
  <si>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</si>
  <si>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</si>
  <si>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</si>
  <si>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</si>
  <si>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</si>
  <si>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</si>
  <si>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</si>
  <si>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</si>
  <si>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</si>
  <si>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</si>
  <si>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</si>
  <si>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</si>
  <si>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</si>
  <si>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</si>
  <si>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</si>
  <si>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</si>
  <si>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</si>
  <si>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</si>
  <si>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</si>
  <si>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</si>
  <si>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</si>
  <si>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</si>
  <si>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</si>
  <si>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</si>
  <si>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</si>
  <si>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</si>
  <si>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</si>
  <si>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</si>
  <si>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</si>
  <si>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</si>
  <si>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</si>
  <si>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</si>
  <si>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</si>
  <si>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</si>
  <si>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</si>
  <si>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</si>
  <si>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</si>
  <si>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</si>
  <si>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</si>
  <si>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</si>
  <si>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</si>
  <si>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</si>
  <si>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</si>
  <si>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</si>
  <si>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</si>
  <si>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</si>
  <si>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</si>
  <si>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</si>
  <si>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</si>
  <si>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</si>
  <si>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</si>
  <si>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</si>
  <si>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</si>
  <si>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</si>
  <si>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</si>
  <si>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</si>
  <si>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</si>
  <si>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</si>
  <si>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</si>
  <si>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</si>
  <si>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</si>
  <si>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</si>
  <si>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</si>
  <si>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</si>
  <si>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</si>
  <si>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</si>
  <si>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</si>
  <si>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</si>
  <si>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</si>
  <si>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</si>
  <si>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</si>
  <si>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</si>
  <si>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</si>
  <si>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</si>
  <si>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</si>
  <si>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</si>
  <si>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</si>
  <si>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</si>
  <si>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</si>
  <si>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</si>
  <si>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</si>
  <si>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</si>
  <si>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</si>
  <si>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</si>
  <si>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</si>
  <si>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</si>
  <si>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</si>
  <si>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</si>
  <si>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</si>
  <si>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</si>
  <si>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</si>
  <si>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</si>
  <si>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</si>
  <si>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</si>
  <si>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</si>
  <si>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</si>
  <si>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</si>
  <si>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</si>
  <si>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</si>
  <si>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</si>
  <si>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</si>
  <si>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</si>
  <si>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</si>
  <si>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</si>
  <si>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</si>
  <si>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</si>
  <si>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</si>
  <si>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</si>
  <si>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</si>
  <si>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</si>
  <si>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</si>
  <si>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</si>
  <si>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</si>
  <si>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</si>
  <si>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</si>
  <si>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</si>
  <si>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</si>
  <si>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</si>
  <si>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</si>
  <si>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</si>
  <si>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</si>
  <si>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</si>
  <si>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</si>
  <si>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</si>
  <si>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</si>
  <si>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</si>
  <si>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</si>
  <si>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</si>
  <si>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</si>
  <si>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</si>
  <si>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</si>
  <si>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</si>
  <si>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</si>
  <si>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</si>
  <si>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</si>
  <si>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</si>
  <si>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</si>
  <si>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</si>
  <si>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</si>
  <si>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</si>
  <si>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</si>
  <si>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</si>
  <si>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</si>
  <si>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</si>
  <si>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</si>
  <si>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</si>
  <si>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</si>
  <si>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</si>
  <si>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</si>
  <si>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</si>
  <si>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</si>
  <si>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</si>
  <si>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</si>
  <si>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</si>
  <si>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</si>
  <si>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</si>
  <si>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</si>
  <si>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</si>
  <si>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</si>
  <si>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</si>
  <si>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</si>
  <si>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</si>
  <si>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</si>
  <si>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</si>
  <si>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</si>
  <si>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</si>
  <si>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</si>
  <si>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</si>
  <si>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</si>
  <si>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</si>
  <si>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</si>
  <si>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</si>
  <si>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</si>
  <si>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</si>
  <si>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</si>
  <si>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</si>
  <si>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</si>
  <si>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</si>
  <si>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</si>
  <si>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</si>
  <si>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</si>
  <si>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</si>
  <si>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</si>
  <si>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</si>
  <si>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</si>
  <si>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</si>
  <si>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</si>
  <si>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</si>
  <si>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</si>
  <si>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</si>
  <si>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</si>
  <si>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</si>
  <si>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</si>
  <si>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</si>
  <si>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</si>
  <si>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</si>
  <si>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</si>
  <si>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</si>
  <si>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</si>
  <si>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</si>
  <si>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</si>
  <si>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</si>
  <si>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</si>
  <si>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</si>
  <si>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</si>
  <si>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</si>
  <si>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</si>
  <si>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</si>
  <si>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</si>
  <si>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</si>
  <si>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</si>
  <si>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</si>
  <si>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</si>
  <si>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</si>
  <si>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</si>
  <si>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</si>
  <si>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</si>
  <si>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</si>
  <si>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</si>
  <si>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</si>
  <si>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</si>
  <si>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</si>
  <si>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</si>
  <si>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</si>
  <si>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</si>
  <si>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</si>
  <si>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</si>
  <si>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</si>
  <si>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</si>
  <si>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</si>
  <si>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</si>
  <si>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</si>
  <si>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</si>
  <si>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</si>
  <si>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</si>
  <si>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</si>
  <si>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</si>
  <si>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</si>
  <si>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</si>
  <si>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</si>
  <si>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</si>
  <si>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</si>
  <si>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</si>
  <si>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</si>
  <si>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</si>
  <si>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</si>
  <si>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</si>
  <si>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</si>
  <si>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</si>
  <si>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</si>
  <si>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</si>
  <si>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</si>
  <si>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</si>
  <si>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</si>
  <si>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</si>
  <si>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</si>
  <si>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</si>
  <si>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</si>
  <si>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</si>
  <si>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</si>
  <si>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</si>
  <si>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</si>
  <si>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</si>
  <si>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</si>
  <si>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</si>
  <si>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</si>
  <si>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</si>
  <si>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</si>
  <si>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</si>
  <si>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</si>
  <si>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</si>
  <si>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</si>
  <si>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</si>
  <si>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</si>
  <si>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</si>
  <si>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</si>
  <si>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</si>
  <si>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</si>
  <si>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</si>
  <si>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</si>
  <si>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</si>
  <si>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</si>
  <si>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</si>
  <si>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</si>
  <si>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</si>
  <si>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</si>
  <si>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</si>
  <si>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</si>
  <si>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</si>
  <si>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</si>
  <si>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</si>
  <si>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</si>
  <si>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</si>
  <si>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</si>
  <si>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</si>
  <si>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</si>
  <si>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</si>
  <si>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</si>
  <si>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</si>
  <si>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</si>
  <si>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</si>
  <si>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</si>
  <si>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</si>
  <si>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</si>
  <si>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</si>
  <si>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</si>
  <si>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</si>
  <si>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</si>
  <si>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</si>
  <si>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</si>
  <si>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</si>
  <si>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</si>
  <si>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</si>
  <si>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</si>
  <si>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</si>
  <si>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</si>
  <si>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</si>
  <si>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</si>
  <si>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</si>
  <si>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</si>
  <si>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</si>
  <si>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</si>
  <si>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</si>
  <si>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</si>
  <si>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</si>
  <si>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</si>
  <si>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</si>
  <si>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</si>
  <si>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</si>
  <si>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</si>
  <si>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</si>
  <si>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</si>
  <si>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</si>
  <si>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</si>
  <si>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</si>
  <si>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</si>
  <si>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</si>
  <si>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</si>
  <si>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</si>
  <si>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</si>
  <si>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</si>
  <si>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</si>
  <si>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</si>
  <si>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</si>
  <si>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</si>
  <si>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</si>
  <si>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</si>
  <si>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</si>
  <si>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</si>
  <si>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</si>
  <si>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</si>
  <si>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</si>
  <si>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</si>
  <si>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</si>
  <si>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</si>
  <si>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</si>
  <si>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</si>
  <si>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</si>
  <si>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</si>
  <si>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</si>
  <si>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</si>
  <si>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</si>
  <si>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</si>
  <si>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</si>
  <si>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</si>
  <si>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</si>
  <si>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</si>
  <si>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</si>
  <si>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</si>
  <si>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</si>
  <si>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</si>
  <si>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</si>
  <si>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</si>
  <si>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</si>
  <si>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</si>
  <si>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</si>
  <si>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</si>
  <si>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</si>
  <si>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</si>
  <si>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</si>
  <si>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</si>
  <si>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</si>
  <si>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</si>
  <si>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</si>
  <si>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</si>
  <si>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</si>
  <si>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</si>
  <si>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</si>
  <si>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</si>
  <si>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</si>
  <si>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</si>
  <si>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</si>
  <si>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</si>
  <si>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</si>
  <si>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</si>
  <si>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</si>
  <si>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</si>
  <si>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</si>
  <si>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</si>
  <si>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</si>
  <si>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</si>
  <si>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</si>
  <si>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</si>
  <si>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</si>
  <si>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</si>
  <si>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</si>
  <si>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</si>
  <si>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</si>
  <si>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</si>
  <si>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</si>
  <si>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</si>
  <si>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</si>
  <si>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</si>
  <si>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</si>
  <si>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</si>
  <si>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</si>
  <si>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</si>
  <si>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</si>
  <si>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</si>
  <si>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</si>
  <si>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</si>
  <si>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</si>
  <si>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</si>
  <si>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</si>
  <si>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</si>
  <si>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</si>
  <si>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</si>
  <si>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</si>
  <si>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</si>
  <si>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</si>
  <si>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</si>
  <si>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</si>
  <si>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</si>
  <si>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</si>
  <si>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</si>
  <si>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</si>
  <si>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</si>
  <si>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</si>
  <si>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</si>
  <si>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</si>
  <si>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</si>
  <si>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</si>
  <si>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</si>
  <si>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</si>
  <si>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</si>
  <si>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</si>
  <si>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</si>
  <si>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</si>
  <si>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</si>
  <si>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</si>
  <si>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</si>
  <si>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</si>
  <si>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</si>
  <si>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</si>
  <si>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</si>
  <si>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</si>
  <si>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</si>
  <si>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</si>
  <si>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</si>
  <si>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</si>
  <si>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</si>
  <si>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</si>
  <si>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</si>
  <si>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</si>
  <si>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</si>
  <si>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</si>
  <si>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</si>
  <si>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</si>
  <si>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</si>
  <si>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</si>
  <si>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</si>
  <si>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</si>
  <si>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</si>
  <si>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</si>
  <si>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</si>
  <si>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</si>
  <si>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</si>
  <si>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</si>
  <si>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</si>
  <si>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</si>
  <si>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</si>
  <si>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</si>
  <si>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</si>
  <si>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</si>
  <si>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</si>
  <si>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</si>
  <si>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</si>
  <si>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</si>
  <si>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</si>
  <si>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</si>
  <si>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</si>
  <si>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</si>
  <si>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</si>
  <si>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</si>
  <si>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</si>
  <si>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</si>
  <si>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</si>
  <si>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</si>
  <si>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</si>
  <si>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</si>
  <si>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</si>
  <si>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</si>
  <si>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</si>
  <si>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</si>
  <si>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</si>
  <si>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</si>
  <si>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</si>
  <si>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</si>
  <si>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</si>
  <si>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</si>
  <si>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</si>
  <si>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</si>
  <si>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</si>
  <si>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</si>
  <si>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</si>
  <si>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</si>
  <si>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</si>
  <si>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</si>
  <si>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</si>
  <si>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</si>
  <si>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</si>
  <si>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</si>
  <si>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</si>
  <si>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</si>
  <si>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</si>
  <si>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</si>
  <si>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</si>
  <si>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</si>
  <si>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</si>
  <si>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</si>
  <si>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</si>
  <si>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</si>
  <si>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</si>
  <si>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</si>
  <si>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</si>
  <si>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</si>
  <si>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</si>
  <si>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</si>
  <si>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</si>
  <si>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</si>
  <si>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</si>
  <si>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</si>
  <si>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</si>
  <si>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</si>
  <si>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</si>
  <si>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</si>
  <si>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</si>
  <si>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</si>
  <si>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</si>
  <si>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</si>
  <si>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</si>
  <si>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</si>
  <si>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</si>
  <si>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</si>
  <si>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</si>
  <si>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</si>
  <si>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</si>
  <si>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</si>
  <si>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</si>
  <si>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</si>
  <si>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</si>
  <si>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</si>
  <si>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</si>
  <si>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</si>
  <si>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</si>
  <si>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</si>
  <si>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</si>
  <si>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</si>
  <si>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</si>
  <si>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</si>
  <si>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</si>
  <si>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</si>
  <si>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</si>
  <si>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</si>
  <si>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</si>
  <si>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</si>
  <si>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</si>
  <si>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</si>
  <si>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</si>
  <si>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</si>
  <si>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</si>
  <si>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</si>
  <si>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</si>
  <si>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</si>
  <si>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</si>
  <si>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</si>
  <si>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</si>
  <si>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</si>
  <si>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</si>
  <si>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</si>
  <si>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</si>
  <si>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</si>
  <si>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</si>
  <si>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</si>
  <si>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</si>
  <si>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</si>
  <si>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</si>
  <si>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</si>
  <si>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</si>
  <si>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</si>
  <si>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</si>
  <si>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</si>
  <si>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</si>
  <si>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</si>
  <si>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</si>
  <si>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</si>
  <si>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</si>
  <si>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</si>
  <si>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</si>
  <si>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</si>
  <si>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</si>
  <si>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</si>
  <si>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</si>
  <si>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</si>
  <si>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</si>
  <si>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</si>
  <si>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</si>
  <si>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</si>
  <si>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</si>
  <si>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</si>
  <si>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</si>
  <si>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</si>
  <si>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</si>
  <si>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</si>
  <si>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</si>
  <si>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</si>
  <si>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</si>
  <si>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</si>
  <si>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</si>
  <si>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</si>
  <si>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</si>
  <si>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</si>
  <si>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</si>
  <si>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</si>
  <si>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</si>
  <si>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</si>
  <si>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</si>
  <si>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</si>
  <si>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</si>
  <si>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</si>
  <si>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</si>
  <si>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</si>
  <si>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</si>
  <si>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</si>
  <si>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</si>
  <si>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</si>
  <si>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</si>
  <si>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</si>
  <si>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</si>
  <si>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</si>
  <si>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</si>
  <si>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</si>
  <si>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</si>
  <si>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</si>
  <si>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</si>
  <si>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</si>
  <si>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</si>
  <si>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</si>
  <si>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</si>
  <si>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</si>
  <si>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</si>
  <si>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</si>
  <si>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</si>
  <si>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</si>
  <si>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</si>
  <si>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</si>
  <si>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</si>
  <si>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</si>
  <si>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</si>
  <si>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</si>
  <si>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</si>
  <si>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</si>
  <si>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</si>
  <si>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</si>
  <si>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</si>
  <si>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</si>
  <si>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</si>
  <si>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</si>
  <si>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</si>
  <si>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</si>
  <si>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</si>
  <si>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</si>
  <si>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</si>
  <si>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</si>
  <si>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</si>
  <si>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</si>
  <si>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</si>
  <si>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</si>
  <si>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</si>
  <si>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</si>
  <si>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</si>
  <si>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</si>
  <si>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</si>
  <si>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</si>
  <si>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</si>
  <si>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</si>
  <si>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</si>
  <si>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</si>
  <si>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</si>
  <si>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</si>
  <si>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</si>
  <si>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</si>
  <si>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</si>
  <si>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</si>
  <si>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</si>
  <si>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</si>
  <si>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</si>
  <si>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</si>
  <si>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</si>
  <si>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</si>
  <si>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</si>
  <si>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</si>
  <si>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</si>
  <si>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</si>
  <si>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</si>
  <si>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</si>
  <si>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</si>
  <si>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</si>
  <si>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</si>
  <si>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</si>
  <si>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</si>
  <si>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</si>
  <si>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</si>
  <si>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</si>
  <si>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</si>
  <si>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</si>
  <si>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</si>
  <si>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</si>
  <si>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</si>
  <si>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</si>
  <si>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</si>
  <si>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</si>
  <si>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</si>
  <si>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</si>
  <si>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</si>
  <si>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</si>
  <si>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</si>
  <si>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</si>
  <si>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</si>
  <si>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</si>
  <si>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</si>
  <si>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</si>
  <si>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</si>
  <si>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</si>
  <si>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</si>
  <si>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</si>
  <si>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</si>
  <si>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</si>
  <si>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</si>
  <si>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</si>
  <si>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</si>
  <si>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</si>
  <si>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</si>
  <si>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</si>
  <si>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</si>
  <si>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</si>
  <si>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</si>
  <si>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</si>
  <si>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</si>
  <si>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</si>
  <si>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</si>
  <si>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</si>
  <si>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</si>
  <si>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</si>
  <si>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</si>
  <si>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</si>
  <si>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</si>
  <si>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</si>
  <si>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</si>
  <si>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</si>
  <si>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</si>
  <si>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</si>
  <si>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</si>
  <si>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</si>
  <si>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</si>
  <si>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</si>
  <si>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</si>
  <si>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</si>
  <si>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</si>
  <si>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</si>
  <si>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</si>
  <si>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</si>
  <si>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</si>
  <si>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</si>
  <si>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</si>
  <si>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</si>
  <si>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</si>
  <si>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</si>
  <si>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</si>
  <si>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</si>
  <si>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</si>
  <si>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</si>
  <si>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</si>
  <si>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</si>
  <si>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</si>
  <si>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</si>
  <si>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</si>
  <si>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</si>
  <si>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</si>
  <si>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</si>
  <si>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</si>
  <si>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</si>
  <si>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</si>
  <si>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</si>
  <si>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</si>
  <si>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</si>
  <si>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</si>
  <si>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</si>
  <si>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</si>
  <si>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</si>
  <si>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</si>
  <si>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</si>
  <si>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</si>
  <si>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</si>
  <si>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</si>
  <si>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</si>
  <si>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</si>
  <si>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</si>
  <si>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</si>
  <si>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</si>
  <si>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</si>
  <si>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</si>
  <si>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</si>
  <si>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</si>
  <si>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</si>
  <si>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</si>
  <si>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</si>
  <si>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</si>
  <si>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</si>
  <si>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</si>
  <si>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</si>
  <si>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</si>
  <si>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</si>
  <si>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</si>
  <si>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</si>
  <si>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</si>
  <si>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</si>
  <si>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</si>
  <si>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</si>
  <si>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</si>
  <si>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</si>
  <si>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</si>
  <si>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</si>
  <si>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</si>
  <si>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</si>
  <si>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</si>
  <si>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</si>
  <si>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</si>
  <si>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</si>
  <si>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</si>
  <si>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</si>
  <si>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</si>
  <si>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</si>
  <si>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</si>
  <si>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</si>
  <si>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</si>
  <si>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</si>
  <si>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</si>
  <si>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</si>
  <si>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</si>
  <si>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</si>
  <si>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</si>
  <si>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</si>
  <si>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</si>
  <si>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</si>
  <si>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</si>
  <si>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</si>
  <si>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</si>
  <si>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</si>
  <si>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</si>
  <si>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</si>
  <si>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</si>
  <si>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</si>
  <si>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</si>
  <si>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</si>
  <si>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</si>
  <si>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</si>
  <si>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</si>
  <si>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</si>
  <si>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</si>
  <si>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</si>
  <si>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</si>
  <si>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</si>
  <si>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</si>
  <si>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</si>
  <si>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</si>
  <si>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</si>
  <si>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</si>
  <si>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</si>
  <si>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</si>
  <si>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</si>
  <si>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</si>
  <si>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</si>
  <si>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</si>
  <si>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</si>
  <si>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</si>
  <si>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</si>
  <si>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</si>
  <si>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</si>
  <si>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</si>
  <si>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</si>
  <si>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</si>
  <si>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</si>
  <si>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</si>
  <si>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</si>
  <si>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</si>
  <si>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</si>
  <si>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</si>
  <si>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</si>
  <si>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</si>
  <si>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</si>
  <si>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</si>
  <si>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</si>
  <si>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</si>
  <si>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</si>
  <si>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</si>
  <si>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</si>
  <si>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</si>
  <si>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</si>
  <si>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</si>
  <si>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</si>
  <si>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</si>
  <si>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</si>
  <si>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</si>
  <si>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</si>
  <si>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</si>
  <si>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</si>
  <si>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</si>
  <si>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</si>
  <si>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</si>
  <si>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</si>
  <si>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</si>
  <si>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</si>
  <si>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</si>
  <si>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</si>
  <si>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</si>
  <si>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</si>
  <si>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</si>
  <si>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</si>
  <si>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</si>
  <si>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</si>
  <si>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</si>
  <si>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</si>
  <si>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</si>
  <si>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</si>
  <si>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</si>
  <si>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</si>
  <si>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</si>
  <si>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</si>
  <si>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</si>
  <si>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</si>
  <si>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</si>
  <si>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</si>
  <si>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</si>
  <si>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</si>
  <si>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</si>
  <si>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</si>
  <si>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</si>
  <si>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</si>
  <si>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</si>
  <si>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</si>
  <si>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</si>
  <si>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</si>
  <si>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</si>
  <si>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</si>
  <si>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</si>
  <si>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</si>
  <si>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</si>
  <si>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</si>
  <si>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</si>
  <si>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</si>
  <si>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</si>
  <si>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</si>
  <si>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</si>
  <si>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</si>
  <si>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</si>
  <si>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</si>
  <si>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</si>
  <si>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</si>
  <si>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</si>
  <si>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</si>
  <si>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</si>
  <si>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</si>
  <si>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</si>
  <si>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</si>
  <si>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</si>
  <si>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</si>
  <si>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</si>
  <si>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</si>
  <si>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</si>
  <si>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</si>
  <si>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</si>
  <si>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</si>
  <si>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</si>
  <si>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</si>
  <si>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</si>
  <si>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</si>
  <si>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</si>
  <si>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</si>
  <si>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</si>
  <si>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</si>
  <si>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</si>
  <si>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</si>
  <si>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</si>
  <si>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</si>
  <si>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</si>
  <si>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</si>
  <si>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</si>
  <si>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</si>
  <si>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</si>
  <si>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</si>
  <si>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</si>
  <si>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</si>
  <si>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</si>
  <si>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</si>
  <si>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</si>
  <si>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</si>
  <si>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</si>
  <si>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</si>
  <si>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</si>
  <si>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</si>
  <si>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</si>
  <si>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</si>
  <si>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</si>
  <si>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</si>
  <si>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</si>
  <si>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</si>
  <si>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</si>
  <si>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</si>
  <si>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</si>
  <si>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</si>
  <si>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</si>
  <si>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</si>
  <si>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</si>
  <si>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</si>
  <si>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</si>
  <si>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</si>
  <si>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</si>
  <si>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</si>
  <si>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</si>
  <si>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</si>
  <si>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</si>
  <si>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</si>
  <si>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</si>
  <si>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</si>
  <si>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</si>
  <si>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</si>
  <si>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</si>
  <si>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</si>
  <si>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</si>
  <si>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</si>
  <si>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</si>
  <si>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</si>
  <si>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</si>
  <si>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</si>
  <si>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</si>
  <si>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</si>
  <si>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</si>
  <si>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</si>
  <si>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</si>
  <si>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</si>
  <si>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</si>
  <si>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</si>
  <si>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</si>
  <si>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</si>
  <si>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</si>
  <si>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</si>
  <si>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</si>
  <si>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</si>
  <si>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</si>
  <si>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</si>
  <si>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</si>
  <si>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</si>
  <si>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</si>
  <si>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</si>
  <si>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</si>
  <si>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</si>
  <si>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</si>
  <si>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</si>
  <si>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</si>
  <si>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</si>
  <si>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</si>
  <si>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</si>
  <si>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</si>
  <si>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</si>
  <si>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</si>
  <si>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</si>
  <si>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</si>
  <si>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</si>
  <si>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</si>
  <si>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</si>
  <si>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</si>
  <si>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</si>
  <si>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</si>
  <si>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</si>
  <si>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</si>
  <si>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</si>
  <si>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</si>
  <si>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</si>
  <si>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</si>
  <si>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</si>
  <si>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</si>
  <si>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</si>
  <si>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</si>
  <si>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</si>
  <si>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</si>
  <si>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</si>
  <si>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</si>
  <si>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</si>
  <si>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</si>
  <si>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</si>
  <si>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</si>
  <si>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</si>
  <si>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</si>
  <si>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</si>
  <si>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</si>
  <si>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</si>
  <si>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</si>
  <si>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</si>
  <si>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</si>
  <si>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</si>
  <si>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</si>
  <si>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</si>
  <si>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</si>
  <si>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</si>
  <si>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</si>
  <si>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</si>
  <si>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</si>
  <si>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</si>
  <si>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</si>
  <si>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</si>
  <si>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</si>
  <si>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</si>
  <si>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</si>
  <si>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</si>
  <si>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</si>
  <si>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</si>
  <si>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</si>
  <si>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</si>
  <si>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</si>
  <si>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</si>
  <si>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</si>
  <si>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</si>
  <si>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</si>
  <si>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</si>
  <si>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</si>
  <si>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</si>
  <si>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</si>
  <si>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</si>
  <si>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</si>
  <si>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</si>
  <si>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</si>
  <si>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</si>
  <si>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</si>
  <si>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</si>
  <si>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</si>
  <si>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</si>
  <si>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</si>
  <si>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</si>
  <si>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</si>
  <si>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</si>
  <si>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</si>
  <si>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</si>
  <si>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</si>
  <si>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</si>
  <si>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</si>
  <si>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</si>
  <si>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</si>
  <si>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</si>
  <si>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</si>
  <si>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</si>
  <si>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</si>
  <si>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</si>
  <si>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</si>
  <si>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</si>
  <si>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</si>
  <si>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</si>
  <si>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</si>
  <si>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</si>
  <si>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</si>
  <si>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</si>
  <si>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</si>
  <si>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</si>
  <si>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</si>
  <si>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</si>
  <si>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</si>
  <si>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</si>
  <si>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</si>
  <si>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</si>
  <si>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</si>
  <si>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</si>
  <si>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</si>
  <si>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</si>
  <si>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</si>
  <si>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</si>
  <si>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</si>
  <si>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</si>
  <si>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</si>
  <si>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</si>
  <si>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</si>
  <si>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</si>
  <si>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</si>
  <si>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</si>
  <si>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</si>
  <si>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</si>
  <si>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</si>
  <si>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</si>
  <si>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</si>
  <si>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</si>
  <si>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</si>
  <si>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</si>
  <si>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</si>
  <si>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</si>
  <si>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</si>
  <si>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</si>
  <si>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</si>
  <si>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</si>
  <si>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</si>
  <si>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</si>
  <si>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</si>
  <si>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</si>
  <si>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</si>
  <si>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</si>
  <si>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</si>
  <si>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</si>
  <si>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</si>
  <si>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</si>
  <si>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</si>
  <si>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</si>
  <si>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</si>
  <si>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</si>
  <si>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</si>
  <si>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</si>
  <si>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</si>
  <si>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</si>
  <si>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</si>
  <si>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</si>
  <si>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</si>
  <si>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</si>
  <si>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</si>
  <si>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</si>
  <si>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</si>
  <si>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</si>
  <si>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</si>
  <si>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</si>
  <si>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</si>
  <si>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</si>
  <si>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</si>
  <si>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</si>
  <si>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</si>
  <si>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</si>
  <si>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</si>
  <si>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</si>
  <si>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</si>
  <si>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</si>
  <si>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</si>
  <si>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</si>
  <si>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</si>
  <si>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</si>
  <si>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</si>
  <si>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</si>
  <si>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</si>
  <si>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</si>
  <si>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</si>
  <si>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</si>
  <si>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</si>
  <si>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</si>
  <si>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</si>
  <si>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</si>
  <si>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</si>
  <si>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</si>
  <si>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</si>
  <si>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</si>
  <si>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</si>
  <si>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</si>
  <si>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</si>
  <si>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</si>
  <si>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</si>
  <si>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</si>
  <si>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</si>
  <si>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</si>
  <si>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</si>
  <si>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</si>
  <si>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</si>
  <si>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</si>
  <si>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</si>
  <si>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</si>
  <si>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</si>
  <si>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</si>
  <si>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</si>
  <si>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</si>
  <si>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</si>
  <si>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</si>
  <si>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</si>
  <si>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</si>
  <si>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</si>
  <si>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</si>
  <si>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</si>
  <si>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</si>
  <si>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</si>
  <si>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</si>
  <si>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</si>
  <si>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</si>
  <si>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</si>
  <si>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</si>
  <si>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</si>
  <si>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</si>
  <si>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</si>
  <si>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</si>
  <si>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</si>
  <si>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</si>
  <si>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</si>
  <si>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</si>
  <si>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</si>
  <si>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</si>
  <si>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</si>
  <si>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</si>
  <si>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</si>
  <si>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</si>
  <si>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</si>
  <si>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</si>
  <si>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</si>
  <si>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</si>
  <si>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</si>
  <si>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</si>
  <si>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</si>
  <si>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</si>
  <si>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</si>
  <si>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</si>
  <si>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</si>
  <si>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</si>
  <si>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</si>
  <si>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</si>
  <si>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</si>
  <si>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</si>
  <si>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</si>
  <si>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</si>
  <si>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</si>
  <si>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</si>
  <si>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</si>
  <si>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</si>
  <si>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</si>
  <si>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</si>
  <si>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</si>
  <si>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</si>
  <si>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</si>
  <si>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</si>
  <si>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</si>
  <si>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</si>
  <si>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</si>
  <si>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</si>
  <si>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</si>
  <si>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</si>
  <si>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</si>
  <si>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</si>
  <si>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</si>
  <si>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</si>
  <si>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</si>
  <si>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</si>
  <si>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</si>
  <si>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</si>
  <si>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</si>
  <si>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</si>
  <si>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</si>
  <si>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</si>
  <si>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</si>
  <si>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</si>
  <si>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</si>
  <si>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</si>
  <si>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</si>
  <si>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</si>
  <si>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</si>
  <si>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</si>
  <si>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</si>
  <si>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</si>
  <si>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</si>
  <si>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</si>
  <si>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</si>
  <si>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</si>
  <si>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</si>
  <si>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</si>
  <si>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</si>
  <si>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</si>
  <si>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</si>
  <si>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</si>
  <si>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</si>
  <si>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</si>
  <si>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</si>
  <si>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</si>
  <si>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</si>
  <si>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</si>
  <si>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</si>
  <si>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</si>
  <si>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</si>
  <si>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</si>
  <si>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</si>
  <si>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</si>
  <si>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</si>
  <si>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</si>
  <si>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</si>
  <si>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</si>
  <si>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</si>
  <si>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</si>
  <si>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</si>
  <si>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</si>
  <si>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</si>
  <si>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</si>
  <si>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</si>
  <si>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</si>
  <si>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</si>
  <si>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</si>
  <si>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</si>
  <si>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</si>
  <si>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</si>
  <si>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</si>
  <si>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</si>
  <si>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</si>
  <si>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</si>
  <si>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</si>
  <si>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</si>
  <si>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</si>
  <si>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</si>
  <si>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</si>
  <si>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</si>
  <si>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</si>
  <si>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</si>
  <si>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</si>
  <si>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</si>
  <si>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</si>
  <si>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</si>
  <si>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</si>
  <si>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</si>
  <si>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</si>
  <si>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</si>
  <si>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</si>
  <si>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</si>
  <si>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</si>
  <si>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</si>
  <si>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</si>
  <si>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</si>
  <si>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</si>
  <si>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</si>
  <si>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</si>
  <si>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</si>
  <si>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</si>
  <si>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</si>
  <si>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</si>
  <si>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</si>
  <si>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</si>
  <si>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</si>
  <si>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</si>
  <si>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</si>
  <si>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</si>
  <si>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</si>
  <si>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</si>
  <si>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</si>
  <si>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</si>
  <si>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</si>
  <si>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</si>
  <si>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</si>
  <si>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</si>
  <si>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</si>
  <si>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</si>
  <si>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</si>
  <si>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</si>
  <si>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</si>
  <si>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</si>
  <si>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</si>
  <si>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</si>
  <si>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</si>
  <si>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</si>
  <si>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</si>
  <si>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</si>
  <si>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</si>
  <si>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</si>
  <si>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</si>
  <si>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</si>
  <si>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</si>
  <si>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</si>
  <si>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</si>
  <si>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</si>
  <si>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</si>
  <si>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</si>
  <si>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</si>
  <si>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</si>
  <si>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</si>
  <si>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</si>
  <si>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</si>
  <si>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</si>
  <si>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</si>
  <si>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</si>
  <si>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</si>
  <si>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</si>
  <si>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</si>
  <si>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</si>
  <si>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</si>
  <si>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</si>
  <si>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</si>
  <si>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</si>
  <si>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</si>
  <si>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</si>
  <si>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</si>
  <si>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</si>
  <si>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</si>
  <si>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</si>
  <si>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</si>
  <si>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</si>
  <si>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</si>
  <si>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</si>
  <si>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</si>
  <si>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</si>
  <si>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</si>
  <si>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</si>
  <si>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</si>
  <si>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</si>
  <si>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</si>
  <si>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</si>
  <si>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</si>
  <si>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</si>
  <si>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</si>
  <si>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</si>
  <si>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</si>
  <si>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</si>
  <si>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</si>
  <si>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</si>
  <si>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</si>
  <si>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</si>
  <si>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</si>
  <si>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</si>
  <si>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</si>
  <si>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</si>
  <si>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</si>
  <si>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</si>
  <si>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</si>
  <si>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</si>
  <si>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</si>
  <si>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</si>
  <si>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</si>
  <si>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</si>
  <si>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</si>
  <si>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</si>
  <si>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</si>
  <si>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</si>
  <si>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</si>
  <si>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</si>
  <si>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</si>
  <si>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</si>
  <si>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</si>
  <si>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</si>
  <si>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</si>
  <si>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</si>
  <si>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</si>
  <si>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</si>
  <si>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</si>
  <si>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</si>
  <si>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</si>
  <si>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</si>
  <si>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</si>
  <si>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</si>
  <si>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</si>
  <si>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</si>
  <si>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</si>
  <si>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</si>
  <si>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</si>
  <si>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</si>
  <si>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</si>
  <si>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</si>
  <si>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</si>
  <si>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</si>
  <si>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</si>
  <si>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</si>
  <si>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</si>
  <si>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</si>
  <si>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</si>
  <si>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</si>
  <si>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</si>
  <si>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</si>
  <si>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</si>
  <si>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</si>
  <si>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</si>
  <si>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</si>
  <si>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</si>
  <si>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</si>
  <si>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</si>
  <si>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</si>
  <si>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</si>
  <si>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</si>
  <si>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</si>
  <si>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</si>
  <si>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</si>
  <si>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</si>
  <si>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</si>
  <si>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</si>
  <si>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</si>
  <si>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</si>
  <si>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</si>
  <si>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</si>
  <si>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</si>
  <si>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</si>
  <si>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</si>
  <si>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</si>
  <si>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</si>
  <si>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</si>
  <si>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</si>
  <si>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</si>
  <si>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</si>
  <si>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</si>
  <si>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</si>
  <si>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</si>
  <si>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</si>
  <si>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</si>
  <si>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</si>
  <si>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</si>
  <si>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</si>
  <si>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</si>
  <si>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</si>
  <si>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</si>
  <si>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</si>
  <si>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</si>
  <si>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</si>
  <si>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</si>
  <si>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</si>
  <si>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</si>
  <si>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</si>
  <si>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</si>
  <si>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</si>
  <si>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</si>
  <si>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</si>
  <si>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</si>
  <si>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</si>
  <si>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</si>
  <si>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</si>
  <si>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</si>
  <si>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</si>
  <si>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</si>
  <si>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</si>
  <si>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</si>
  <si>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</si>
  <si>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</si>
  <si>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</si>
  <si>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</si>
  <si>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</si>
  <si>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</si>
  <si>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</si>
  <si>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</si>
  <si>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</si>
  <si>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</si>
  <si>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</si>
  <si>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</si>
  <si>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</si>
  <si>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</si>
  <si>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</si>
  <si>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</si>
  <si>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</si>
  <si>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</si>
  <si>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</si>
  <si>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</si>
  <si>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</si>
  <si>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</si>
  <si>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</si>
  <si>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</si>
  <si>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</si>
  <si>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</si>
  <si>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</si>
  <si>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</si>
  <si>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</si>
  <si>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</si>
  <si>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</si>
  <si>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</si>
  <si>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</si>
  <si>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</si>
  <si>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</si>
  <si>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</si>
  <si>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</si>
  <si>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</si>
  <si>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</si>
  <si>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</si>
  <si>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</si>
  <si>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</si>
  <si>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</si>
  <si>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</si>
  <si>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</si>
  <si>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</si>
  <si>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</si>
  <si>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</si>
  <si>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</si>
  <si>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</si>
  <si>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</si>
  <si>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</si>
  <si>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</si>
  <si>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</si>
  <si>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</si>
  <si>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</si>
  <si>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</si>
  <si>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</si>
  <si>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</si>
  <si>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</si>
  <si>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</si>
  <si>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</si>
  <si>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</si>
  <si>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</si>
  <si>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</si>
  <si>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</si>
  <si>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</si>
  <si>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</si>
  <si>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</si>
  <si>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</si>
  <si>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</si>
  <si>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</si>
  <si>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</si>
  <si>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</si>
  <si>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</si>
  <si>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</si>
  <si>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</si>
  <si>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</si>
  <si>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</si>
  <si>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</si>
  <si>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</si>
  <si>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</si>
  <si>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</si>
  <si>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</si>
  <si>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</si>
  <si>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</si>
  <si>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</si>
  <si>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</si>
  <si>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</si>
  <si>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</si>
  <si>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</si>
  <si>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</si>
  <si>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</si>
  <si>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</si>
  <si>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</si>
  <si>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</si>
  <si>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</si>
  <si>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</si>
  <si>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</si>
  <si>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</si>
  <si>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</si>
  <si>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</si>
  <si>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</si>
  <si>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</si>
  <si>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</si>
  <si>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</si>
  <si>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</si>
  <si>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</si>
  <si>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</si>
  <si>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</si>
  <si>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</si>
  <si>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</si>
  <si>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</si>
  <si>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</si>
  <si>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</si>
  <si>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</si>
  <si>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</si>
  <si>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</si>
  <si>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</si>
  <si>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</si>
  <si>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</si>
  <si>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</si>
  <si>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</si>
  <si>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</si>
  <si>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</si>
  <si>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</si>
  <si>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</si>
  <si>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</si>
  <si>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</si>
  <si>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</si>
  <si>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</si>
  <si>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Lietuvos Respublikos Aplinkos apsaugos agentūra</t>
  </si>
  <si>
    <t>LT/8PR23(tv(1)-7)</t>
  </si>
  <si>
    <t>VĮ ,,Visagino energija"</t>
  </si>
  <si>
    <t>Taikos pr. 26A, a.d. Nr.3</t>
  </si>
  <si>
    <t>LT-31002</t>
  </si>
  <si>
    <t>Visaginas</t>
  </si>
  <si>
    <t>Šiluminė katilinė</t>
  </si>
  <si>
    <t>Karlų kaimas</t>
  </si>
  <si>
    <t>LT000000000000115</t>
  </si>
  <si>
    <t>Visagino savivaldybė</t>
  </si>
  <si>
    <t>Utenos apskritis</t>
  </si>
  <si>
    <t>LT-30270</t>
  </si>
  <si>
    <t>x-6122458,1, y-657120,1</t>
  </si>
  <si>
    <t>7</t>
  </si>
  <si>
    <t>Pasikeitimų nebuvo.</t>
  </si>
  <si>
    <t>p.</t>
  </si>
  <si>
    <t>Vitalij</t>
  </si>
  <si>
    <t>Lavruvjanec</t>
  </si>
  <si>
    <t>Lep. Šiluminės katilinės viršininkas</t>
  </si>
  <si>
    <t>v_lavruvjanec@visaginoenergija.lt</t>
  </si>
  <si>
    <t>+3708625974</t>
  </si>
  <si>
    <t>ÅF-Consulting AS</t>
  </si>
  <si>
    <t>Väike-Paala 1</t>
  </si>
  <si>
    <t>Tallinn</t>
  </si>
  <si>
    <t>11415</t>
  </si>
  <si>
    <t>Janika Laht</t>
  </si>
  <si>
    <t>janika.laht@afconsult.com</t>
  </si>
  <si>
    <t>+372 605 3150</t>
  </si>
  <si>
    <t>+372 605 3155</t>
  </si>
  <si>
    <t>V002</t>
  </si>
  <si>
    <t>Gamtinės dujos</t>
  </si>
  <si>
    <t>Dyzelinis krosnių kuras</t>
  </si>
  <si>
    <t>Degimas: Kietasis kuras</t>
  </si>
  <si>
    <t>Medienos skiedros</t>
  </si>
  <si>
    <t>F1. Dujinis – Gamtinės dujos; Gamtinės dujos</t>
  </si>
  <si>
    <t>tCO2/TJ</t>
  </si>
  <si>
    <t>2014 m.</t>
  </si>
  <si>
    <t>neribotai</t>
  </si>
  <si>
    <t>Sunaudojamų gamtinių dujų kiekis katilinėje matuojamas be tarpinio saugojimo. Matuojama matavimo prietaisai, kurių didžiausia leistina matavimo proceso paklaida yra ne didesnė kaip ± 0,5%</t>
  </si>
  <si>
    <t>F2. Skystasis – Dujos ir (arba) dyzelinas; Dyzelinis krosnių kuras</t>
  </si>
  <si>
    <t>Dyzelinis krosnių kuras 2015 metais nebuvo deginamas. Dyzelinio kuro atsargų inventorizacija vykdoma kas mėnesį, kiekvieno mėnesio paskutinę dieną.  Dyzelinio kuro masė talpyklose nustatoma tūrio metodu. Matavimo rulete (liniuote) išmatuojamas talpykloje esančio kuro lygis ir pagal kalibravimo lentelę nustatomas kuro tūris. Kuro temperatūra talpyklose matuojama termometrais, kuriems atlikta metrologinė patikra ir kurie įtraukti į Lietuvos teisinei metrologijai priskirtų prietaisų registrą. Matavimai atliekami 3 kartus iš eilės. Dyzelinio kuro apskaita atliekama vadovaujantis kuro apskaitos taisyklėms, matavimus atlieka įmonės paskirtas atestuotas asmuo. Atlikus matavimus, už kuro kiekio matavimą atsakingas asmuo per 24 valandas apskaičiuoja kuro tankį prie tam tikros kuro temperatūros ir dyzelinio kuro masę. Jeigu  dyzelinis krosnių kuras būtų panaudotas, deginimui sunaudotas kuro kiekis būtų apskaičiuojamas remiantis inventorizacijos duomenimis ir kuro kiekio talpykloje matavimais, atliktais po kuro panaudojimo. Metalinė matavimo ruletė turi galiojantį metrologijos tarnybos sertifikatą.</t>
  </si>
  <si>
    <t>F3. Kietasis – Mediena (ne atliekos); Medienos skiedros</t>
  </si>
  <si>
    <t>tCO2/t</t>
  </si>
  <si>
    <t>Atsinaujinantiems energijos ištekliams (biokurui - medienai) išmetamų teršalų faktoriai netaikomi ir išmetimai neskaičiuojami.</t>
  </si>
  <si>
    <t>Duomenų spragų nėra.</t>
  </si>
  <si>
    <t>Garo tiekimo ir oro kondicionavimo paslaugos</t>
  </si>
  <si>
    <t>35.30 (PGPK 2010)</t>
  </si>
  <si>
    <t>MWh</t>
  </si>
  <si>
    <t>VĮ</t>
  </si>
  <si>
    <t>Valstybės įmonė</t>
  </si>
  <si>
    <t>Aplinkos apsaugos agentūra</t>
  </si>
  <si>
    <t>Šiltnamio efektą sukeliančios dujos</t>
  </si>
  <si>
    <t>Stebėsenos ir ataskaitų reglamentas</t>
  </si>
  <si>
    <t>Produktų, gaminių ir paslaugų klasifikatorius</t>
  </si>
  <si>
    <t>AAA</t>
  </si>
  <si>
    <t>ŠESD</t>
  </si>
  <si>
    <t>SAR</t>
  </si>
  <si>
    <t>PGPK</t>
  </si>
  <si>
    <t xml:space="preserve">Šiltnamio efektą sukeliančių dujų išmetimo ataskaita parengta vadovaujantis Europos Komisijos Reglamentu (ES) Nr. 601/2012 dėl išmetamųjų </t>
  </si>
  <si>
    <t>šiltnamio efektą sukeliančių dujų kiekio stebėsenos ir ataskaitų teikimo pagal Europos Parlamento ir Tarybos direktyvą 2003/87/EB  (toliau – Reglamentas) bei</t>
  </si>
  <si>
    <t>SAR gairėmis (Gairės. Stebėsenos ir ataskaitų reglamentas. Bendrosios įrenginių gairės, toliau – Gairės).</t>
  </si>
  <si>
    <t xml:space="preserve">Standartinio kuro deginimo veiklai taikomos 2a/2b pakopos; šiam įrenginiui (VĮ „Visagino energija“ Šiluminė katilinė) – 2a pakopa, nes veiklos vykdytojas atitinkamai kuro </t>
  </si>
  <si>
    <t>rūšiai taiko konkrečios šalies grynojo šilumingumo vertę, praneštą atitinkamos valstybės narės naujausioje nacionalinėje inventorizacijos ataskaitoje (toliau –Lithuania‘s N</t>
  </si>
  <si>
    <t>ational Greenhouse Gas Inventory Report (NIR)), pateiktoje Jungtinių Tautų Bendrosios klimato kaitos konvencijos sekretoriatui.</t>
  </si>
  <si>
    <t>Rezervinio dyzelinio kuro kiekis matuojamas, atsižvelgiant į atsargų pokytį, naudojant prietaisus, kurių didžiausia leistina matavimo proceso paklaida</t>
  </si>
  <si>
    <t>yra mažesnė už ± 2,5 %. 2015 metais VĮ „Visagino energija“ dyzelinio krosnių kuro nedegino.</t>
  </si>
  <si>
    <t xml:space="preserve">Sunaudojamo biokuro (medienos skiedrų) kiekis matuojamas kietojo biokuro apskaitos taisyklėse ir sutartyje su biokuro tiekėju nustatyta tvarka.  Iš biokuro deginimo </t>
  </si>
  <si>
    <t xml:space="preserve">susidarančių ŠESD kiekis lygus nuliui, nes biokurui taikomas išmetamųjų teršalų faktorius yra lygus nuliui (Reglamento 38 str. nustatyta, kad biomasei taikomas išmetamųjų </t>
  </si>
  <si>
    <t>teršalų faktorius (ITF) yra lygus 0 [t CO2/TJ arba t, arba Nm3] – biomasė išmetamo CO2 kiekio požiūriu laikoma neutralia).</t>
  </si>
  <si>
    <t xml:space="preserve">Oksidacijos koeficientas priimamas lygus 1 (Europos Komisijos Reglamentas (ES) Nr. 601/2012 dėl išmetamųjų šiltnamio efektą sukeliančių dujų kiekio </t>
  </si>
  <si>
    <t>stebėsenos ir ataskaitų teikimo pagal Europos Parlamento ir Tarybos direktyvą 2003/87/EB, 37 str.).</t>
  </si>
</sst>
</file>

<file path=xl/styles.xml><?xml version="1.0" encoding="utf-8"?>
<styleSheet xmlns="http://schemas.openxmlformats.org/spreadsheetml/2006/main">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3">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sz val="10"/>
      <name val="Arial"/>
      <family val="2"/>
      <charset val="186"/>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24">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xf numFmtId="0" fontId="111" fillId="38" borderId="0" applyNumberFormat="0" applyBorder="0" applyAlignment="0" applyProtection="0"/>
  </cellStyleXfs>
  <cellXfs count="1727">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6" fillId="14" borderId="0" xfId="0" applyFont="1" applyFill="1" applyBorder="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8"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9" borderId="0" xfId="0" applyFill="1" applyProtection="1"/>
    <xf numFmtId="0" fontId="2" fillId="20"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1" borderId="17" xfId="0" applyNumberFormat="1" applyFill="1" applyBorder="1" applyAlignment="1" applyProtection="1">
      <alignment horizontal="left"/>
    </xf>
    <xf numFmtId="0" fontId="0" fillId="18" borderId="18" xfId="0" applyFill="1" applyBorder="1" applyProtection="1"/>
    <xf numFmtId="0" fontId="0" fillId="18" borderId="19" xfId="0" applyFill="1" applyBorder="1" applyProtection="1"/>
    <xf numFmtId="0" fontId="0" fillId="18" borderId="20" xfId="0" applyFill="1" applyBorder="1" applyProtection="1"/>
    <xf numFmtId="0" fontId="0" fillId="0" borderId="21" xfId="0" applyBorder="1" applyProtection="1"/>
    <xf numFmtId="0" fontId="0" fillId="19" borderId="22" xfId="0" applyFill="1" applyBorder="1" applyProtection="1"/>
    <xf numFmtId="0" fontId="0" fillId="0" borderId="23" xfId="0" applyBorder="1" applyProtection="1"/>
    <xf numFmtId="0" fontId="0" fillId="20"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18" borderId="28" xfId="0" applyFill="1" applyBorder="1" applyProtection="1"/>
    <xf numFmtId="0" fontId="0" fillId="18" borderId="29" xfId="0" applyFill="1" applyBorder="1" applyProtection="1"/>
    <xf numFmtId="14" fontId="0" fillId="21" borderId="30" xfId="0" applyNumberFormat="1" applyFill="1" applyBorder="1" applyAlignment="1" applyProtection="1">
      <alignment horizontal="center"/>
    </xf>
    <xf numFmtId="0" fontId="0" fillId="18" borderId="31" xfId="0" applyFill="1" applyBorder="1" applyProtection="1"/>
    <xf numFmtId="0" fontId="0" fillId="18" borderId="32" xfId="0" applyFill="1" applyBorder="1" applyProtection="1"/>
    <xf numFmtId="0" fontId="0" fillId="18" borderId="33" xfId="0" applyFill="1" applyBorder="1" applyProtection="1"/>
    <xf numFmtId="0" fontId="0" fillId="18"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18"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18" borderId="44" xfId="0" applyFont="1" applyFill="1" applyBorder="1" applyAlignment="1" applyProtection="1">
      <alignment horizontal="left" vertical="center"/>
    </xf>
    <xf numFmtId="0" fontId="0" fillId="18" borderId="35" xfId="0" applyFill="1" applyBorder="1" applyAlignment="1" applyProtection="1">
      <alignment vertical="center"/>
    </xf>
    <xf numFmtId="0" fontId="0" fillId="18" borderId="36" xfId="0" applyFill="1" applyBorder="1" applyAlignment="1" applyProtection="1">
      <alignment vertical="center"/>
    </xf>
    <xf numFmtId="0" fontId="4" fillId="18" borderId="45" xfId="0" applyFont="1" applyFill="1" applyBorder="1" applyAlignment="1" applyProtection="1">
      <alignment horizontal="left" vertical="center"/>
    </xf>
    <xf numFmtId="0" fontId="0" fillId="18" borderId="14" xfId="0" applyFill="1" applyBorder="1" applyAlignment="1" applyProtection="1">
      <alignment vertical="center"/>
    </xf>
    <xf numFmtId="0" fontId="0" fillId="18"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Protection="1"/>
    <xf numFmtId="0" fontId="65" fillId="14" borderId="0" xfId="0" applyFont="1" applyFill="1" applyBorder="1" applyProtection="1"/>
    <xf numFmtId="0" fontId="65" fillId="14" borderId="0" xfId="0" applyFont="1" applyFill="1" applyAlignment="1" applyProtection="1">
      <alignment horizontal="center" vertical="top" wrapText="1"/>
    </xf>
    <xf numFmtId="0" fontId="65" fillId="14" borderId="0" xfId="0" applyFont="1" applyFill="1" applyAlignment="1" applyProtection="1">
      <alignment vertical="top"/>
    </xf>
    <xf numFmtId="0" fontId="65" fillId="14" borderId="0" xfId="0" applyFont="1" applyFill="1" applyBorder="1" applyAlignment="1" applyProtection="1">
      <alignment vertical="top"/>
    </xf>
    <xf numFmtId="0" fontId="64" fillId="14" borderId="0" xfId="0" applyFont="1" applyFill="1" applyProtection="1"/>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6" fillId="14" borderId="0" xfId="0" applyFont="1" applyFill="1" applyBorder="1" applyAlignment="1" applyProtection="1">
      <alignment vertical="center"/>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27" fillId="14" borderId="0" xfId="15"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20"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20"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20" borderId="64" xfId="0" applyFont="1" applyFill="1" applyBorder="1" applyAlignment="1" applyProtection="1">
      <alignment horizontal="left" vertical="top" wrapText="1"/>
    </xf>
    <xf numFmtId="0" fontId="2" fillId="20"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20"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20"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0" fontId="64" fillId="14" borderId="0" xfId="0" applyFont="1" applyFill="1" applyAlignment="1" applyProtection="1">
      <alignment vertical="top" wrapText="1"/>
    </xf>
    <xf numFmtId="14" fontId="0" fillId="21"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18" borderId="78" xfId="0" applyFont="1" applyFill="1" applyBorder="1" applyAlignment="1" applyProtection="1">
      <alignment horizontal="center"/>
    </xf>
    <xf numFmtId="0" fontId="38" fillId="18" borderId="10" xfId="0" applyFont="1" applyFill="1" applyBorder="1" applyAlignment="1" applyProtection="1">
      <alignment horizontal="center"/>
    </xf>
    <xf numFmtId="0" fontId="38" fillId="18" borderId="71" xfId="0" applyFont="1" applyFill="1" applyBorder="1" applyAlignment="1" applyProtection="1">
      <alignment horizontal="center"/>
    </xf>
    <xf numFmtId="0" fontId="38" fillId="18" borderId="65" xfId="0" applyFont="1" applyFill="1" applyBorder="1" applyAlignment="1" applyProtection="1">
      <alignment horizontal="center"/>
    </xf>
    <xf numFmtId="0" fontId="38" fillId="18"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18"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18"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18"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18"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18"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18"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18"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18" borderId="44" xfId="0" applyNumberFormat="1" applyFill="1" applyBorder="1" applyAlignment="1" applyProtection="1">
      <alignment horizontal="center" vertical="center"/>
    </xf>
    <xf numFmtId="170" fontId="0" fillId="18" borderId="74" xfId="0" applyNumberFormat="1" applyFill="1" applyBorder="1" applyAlignment="1" applyProtection="1">
      <alignment horizontal="center" vertical="center"/>
    </xf>
    <xf numFmtId="170" fontId="0" fillId="18" borderId="89" xfId="0" applyNumberFormat="1" applyFill="1" applyBorder="1" applyAlignment="1" applyProtection="1">
      <alignment horizontal="center" vertical="center"/>
    </xf>
    <xf numFmtId="170" fontId="0" fillId="18" borderId="45" xfId="0" applyNumberFormat="1" applyFill="1" applyBorder="1" applyAlignment="1" applyProtection="1">
      <alignment horizontal="center" vertical="center"/>
    </xf>
    <xf numFmtId="170" fontId="0" fillId="18"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18"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18" borderId="47" xfId="0" applyNumberFormat="1" applyFont="1" applyFill="1" applyBorder="1" applyAlignment="1" applyProtection="1">
      <alignment horizontal="center" vertical="center"/>
    </xf>
    <xf numFmtId="3" fontId="48" fillId="18"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18"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18" borderId="106" xfId="0" applyNumberFormat="1" applyFont="1" applyFill="1" applyBorder="1" applyAlignment="1" applyProtection="1">
      <alignment horizontal="center" vertical="center"/>
    </xf>
    <xf numFmtId="0" fontId="84" fillId="18"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0" fillId="14" borderId="0" xfId="0" applyFill="1" applyAlignment="1" applyProtection="1">
      <alignment horizontal="center" vertical="center"/>
    </xf>
    <xf numFmtId="0" fontId="6" fillId="14"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4" fillId="14" borderId="93" xfId="0" applyNumberFormat="1" applyFont="1" applyFill="1" applyBorder="1" applyAlignment="1" applyProtection="1">
      <alignment vertical="center"/>
    </xf>
    <xf numFmtId="0" fontId="29" fillId="14" borderId="93" xfId="0" applyNumberFormat="1" applyFont="1" applyFill="1" applyBorder="1" applyAlignment="1" applyProtection="1">
      <alignment vertical="center"/>
    </xf>
    <xf numFmtId="0" fontId="76" fillId="14" borderId="93" xfId="0" applyFont="1" applyFill="1" applyBorder="1" applyProtection="1"/>
    <xf numFmtId="0" fontId="0" fillId="14" borderId="93" xfId="0" applyFill="1" applyBorder="1" applyAlignment="1" applyProtection="1">
      <alignment vertical="center"/>
    </xf>
    <xf numFmtId="0" fontId="2" fillId="14" borderId="93" xfId="0" applyNumberFormat="1" applyFont="1" applyFill="1" applyBorder="1" applyAlignment="1" applyProtection="1">
      <alignment vertical="top" wrapText="1"/>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34" fillId="14" borderId="93" xfId="0" applyFont="1" applyFill="1" applyBorder="1" applyProtection="1"/>
    <xf numFmtId="0" fontId="7" fillId="14" borderId="93" xfId="0" applyFont="1" applyFill="1" applyBorder="1" applyAlignment="1" applyProtection="1">
      <alignment horizontal="left" vertical="center"/>
    </xf>
    <xf numFmtId="0" fontId="30" fillId="14" borderId="93" xfId="0" applyFont="1" applyFill="1" applyBorder="1" applyAlignment="1" applyProtection="1">
      <alignment horizontal="left" vertical="top"/>
    </xf>
    <xf numFmtId="0" fontId="4" fillId="14" borderId="93" xfId="0" applyFont="1" applyFill="1" applyBorder="1" applyAlignment="1" applyProtection="1">
      <alignment wrapText="1"/>
    </xf>
    <xf numFmtId="0" fontId="5" fillId="14" borderId="93" xfId="0" applyFont="1" applyFill="1" applyBorder="1" applyAlignment="1" applyProtection="1">
      <alignment horizontal="left" vertical="top" wrapText="1"/>
    </xf>
    <xf numFmtId="0" fontId="0" fillId="14" borderId="93" xfId="0" applyFill="1" applyBorder="1" applyAlignment="1" applyProtection="1">
      <alignment vertical="center" wrapText="1"/>
    </xf>
    <xf numFmtId="0" fontId="0" fillId="14" borderId="93" xfId="0" applyFill="1" applyBorder="1" applyAlignment="1" applyProtection="1">
      <alignment vertical="top" wrapText="1"/>
    </xf>
    <xf numFmtId="0" fontId="76" fillId="14" borderId="93" xfId="0" applyFont="1" applyFill="1" applyBorder="1" applyAlignment="1" applyProtection="1">
      <alignment horizontal="left" vertical="top"/>
    </xf>
    <xf numFmtId="0" fontId="4" fillId="14" borderId="93" xfId="0" applyFont="1" applyFill="1" applyBorder="1" applyAlignment="1" applyProtection="1">
      <alignment vertical="top"/>
    </xf>
    <xf numFmtId="0" fontId="76" fillId="14" borderId="93" xfId="0" applyFont="1" applyFill="1" applyBorder="1" applyAlignment="1" applyProtection="1"/>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76" fillId="14" borderId="40" xfId="0" applyNumberFormat="1" applyFont="1" applyFill="1" applyBorder="1" applyAlignment="1" applyProtection="1">
      <alignment vertical="top"/>
    </xf>
    <xf numFmtId="0" fontId="76" fillId="14" borderId="40" xfId="0" applyNumberFormat="1" applyFont="1" applyFill="1" applyBorder="1" applyAlignment="1" applyProtection="1">
      <alignment horizontal="center" vertical="center"/>
    </xf>
    <xf numFmtId="0" fontId="76" fillId="14" borderId="40" xfId="0" applyNumberFormat="1" applyFont="1" applyFill="1" applyBorder="1" applyAlignment="1" applyProtection="1">
      <alignment vertical="center"/>
    </xf>
    <xf numFmtId="0" fontId="76" fillId="14" borderId="97"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0" fillId="14" borderId="40" xfId="0" applyFill="1" applyBorder="1" applyAlignment="1" applyProtection="1">
      <alignment horizontal="center" vertical="center"/>
    </xf>
    <xf numFmtId="0" fontId="4" fillId="14" borderId="40" xfId="0" applyFont="1" applyFill="1" applyBorder="1" applyAlignment="1" applyProtection="1">
      <alignment vertical="center"/>
    </xf>
    <xf numFmtId="0" fontId="7" fillId="14" borderId="40" xfId="0" applyFont="1" applyFill="1" applyBorder="1" applyAlignment="1" applyProtection="1">
      <alignment horizontal="left" vertical="center"/>
    </xf>
    <xf numFmtId="0" fontId="0" fillId="14" borderId="40" xfId="0" applyFill="1" applyBorder="1" applyProtection="1"/>
    <xf numFmtId="0" fontId="7" fillId="14" borderId="97" xfId="0" applyFont="1" applyFill="1" applyBorder="1" applyAlignment="1" applyProtection="1">
      <alignment horizontal="left" vertical="center"/>
    </xf>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top"/>
    </xf>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76" fillId="14" borderId="40" xfId="0" applyFont="1" applyFill="1" applyBorder="1" applyAlignment="1" applyProtection="1">
      <alignment horizontal="center"/>
    </xf>
    <xf numFmtId="0" fontId="76" fillId="14" borderId="97"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4" fillId="14" borderId="66" xfId="0" applyFont="1" applyFill="1" applyBorder="1" applyAlignment="1" applyProtection="1">
      <alignment horizontal="center" vertical="top"/>
    </xf>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40" xfId="0" applyFont="1" applyFill="1" applyBorder="1" applyAlignment="1" applyProtection="1"/>
    <xf numFmtId="0" fontId="76" fillId="14" borderId="97" xfId="0" applyFont="1" applyFill="1" applyBorder="1" applyAlignment="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18" borderId="102" xfId="0" applyNumberFormat="1" applyFont="1" applyFill="1" applyBorder="1" applyAlignment="1" applyProtection="1">
      <alignment horizontal="center" vertical="top" wrapText="1"/>
    </xf>
    <xf numFmtId="38" fontId="2" fillId="18"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18"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18" borderId="10" xfId="0" applyFont="1" applyFill="1" applyBorder="1" applyAlignment="1" applyProtection="1">
      <alignment horizontal="center" vertical="top" wrapText="1"/>
    </xf>
    <xf numFmtId="0" fontId="38" fillId="18"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0" fontId="4" fillId="14" borderId="93" xfId="0" applyFont="1" applyFill="1" applyBorder="1" applyProtection="1"/>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18" borderId="47" xfId="0" applyNumberFormat="1" applyFont="1" applyFill="1" applyBorder="1" applyAlignment="1" applyProtection="1">
      <alignment horizontal="center" vertical="center"/>
    </xf>
    <xf numFmtId="4" fontId="48" fillId="18"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18" borderId="62" xfId="0" applyFont="1" applyFill="1" applyBorder="1" applyAlignment="1" applyProtection="1">
      <alignment horizontal="left" vertical="center"/>
    </xf>
    <xf numFmtId="0" fontId="0" fillId="18" borderId="38" xfId="0" applyFill="1" applyBorder="1" applyAlignment="1" applyProtection="1">
      <alignment vertical="center"/>
    </xf>
    <xf numFmtId="0" fontId="0" fillId="18"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18"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18"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18" borderId="11" xfId="0" applyNumberFormat="1" applyFont="1" applyFill="1" applyBorder="1" applyAlignment="1" applyProtection="1">
      <alignment horizontal="right" vertical="center"/>
    </xf>
    <xf numFmtId="169" fontId="29" fillId="18" borderId="65" xfId="0" applyNumberFormat="1" applyFont="1" applyFill="1" applyBorder="1" applyAlignment="1" applyProtection="1">
      <alignment horizontal="right" vertical="center"/>
    </xf>
    <xf numFmtId="169" fontId="4" fillId="18"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18" borderId="11" xfId="0" applyNumberFormat="1" applyFont="1" applyFill="1" applyBorder="1" applyAlignment="1" applyProtection="1">
      <alignment horizontal="right" vertical="center"/>
    </xf>
    <xf numFmtId="172" fontId="29" fillId="18"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76" fillId="14" borderId="66" xfId="0" applyFont="1" applyFill="1" applyBorder="1" applyAlignment="1" applyProtection="1"/>
    <xf numFmtId="0" fontId="2" fillId="14" borderId="108" xfId="0" applyNumberFormat="1" applyFont="1" applyFill="1" applyBorder="1" applyAlignment="1" applyProtection="1">
      <alignment vertical="top"/>
    </xf>
    <xf numFmtId="0" fontId="76" fillId="14" borderId="66" xfId="0" applyNumberFormat="1" applyFont="1" applyFill="1" applyBorder="1" applyAlignment="1" applyProtection="1">
      <alignment vertical="top"/>
    </xf>
    <xf numFmtId="0" fontId="76" fillId="14" borderId="83" xfId="0" applyNumberFormat="1" applyFont="1" applyFill="1" applyBorder="1" applyAlignment="1" applyProtection="1">
      <alignment vertical="top"/>
    </xf>
    <xf numFmtId="0" fontId="2" fillId="18" borderId="31" xfId="0" applyFont="1" applyFill="1" applyBorder="1" applyProtection="1"/>
    <xf numFmtId="0" fontId="8" fillId="14" borderId="0" xfId="15" applyFill="1" applyAlignment="1" applyProtection="1"/>
    <xf numFmtId="0" fontId="4" fillId="13" borderId="11" xfId="0" applyFont="1" applyFill="1" applyBorder="1" applyAlignment="1" applyProtection="1">
      <alignment horizontal="center"/>
    </xf>
    <xf numFmtId="1" fontId="6" fillId="32" borderId="10" xfId="0" applyNumberFormat="1" applyFont="1" applyFill="1" applyBorder="1" applyAlignment="1" applyProtection="1">
      <alignment horizontal="center" vertical="top" wrapText="1"/>
      <protection locked="0"/>
    </xf>
    <xf numFmtId="0" fontId="6" fillId="32" borderId="10" xfId="0" applyNumberFormat="1" applyFont="1" applyFill="1" applyBorder="1" applyAlignment="1" applyProtection="1">
      <alignment horizontal="center" vertical="top" wrapText="1"/>
      <protection locked="0"/>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0" fillId="14" borderId="0" xfId="0" applyFill="1" applyAlignment="1" applyProtection="1">
      <alignment horizontal="left"/>
    </xf>
    <xf numFmtId="0" fontId="2" fillId="14" borderId="0" xfId="0" applyFont="1" applyFill="1" applyAlignment="1" applyProtection="1">
      <alignment horizontal="right"/>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64" fillId="14" borderId="0" xfId="0" applyFont="1" applyFill="1" applyAlignment="1" applyProtection="1">
      <alignment horizontal="justify" vertical="top" wrapText="1"/>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1" borderId="67" xfId="0" applyNumberFormat="1" applyFill="1" applyBorder="1" applyAlignment="1" applyProtection="1">
      <alignment horizontal="center"/>
    </xf>
    <xf numFmtId="0" fontId="109" fillId="14" borderId="0" xfId="0" applyNumberFormat="1" applyFont="1" applyFill="1" applyBorder="1" applyAlignment="1" applyProtection="1">
      <alignment vertical="top"/>
    </xf>
    <xf numFmtId="0" fontId="64" fillId="14" borderId="0" xfId="0" applyFont="1" applyFill="1" applyAlignment="1" applyProtection="1">
      <alignment horizontal="center" vertical="top" wrapText="1"/>
    </xf>
    <xf numFmtId="0" fontId="35" fillId="18"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109" fillId="14" borderId="93" xfId="0" applyNumberFormat="1" applyFont="1" applyFill="1" applyBorder="1" applyAlignment="1" applyProtection="1">
      <alignment vertical="top"/>
    </xf>
    <xf numFmtId="0" fontId="109" fillId="14" borderId="93" xfId="0" applyNumberFormat="1" applyFont="1" applyFill="1" applyBorder="1" applyAlignment="1" applyProtection="1">
      <alignment horizontal="center" vertical="top"/>
    </xf>
    <xf numFmtId="0" fontId="109" fillId="14" borderId="93" xfId="0" applyNumberFormat="1" applyFont="1" applyFill="1" applyBorder="1" applyAlignment="1" applyProtection="1">
      <alignment horizontal="center" vertical="center"/>
    </xf>
    <xf numFmtId="0" fontId="34" fillId="14" borderId="93" xfId="0" applyFont="1" applyFill="1" applyBorder="1" applyAlignment="1" applyProtection="1">
      <alignment horizontal="center"/>
    </xf>
    <xf numFmtId="0" fontId="109" fillId="14" borderId="93" xfId="0" applyFont="1" applyFill="1" applyBorder="1" applyAlignment="1" applyProtection="1">
      <alignment vertical="top" wrapText="1"/>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0" fillId="30" borderId="0" xfId="0" applyFill="1" applyAlignment="1" applyProtection="1">
      <alignment horizontal="lef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20"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2" fillId="15" borderId="48" xfId="0" applyNumberFormat="1" applyFont="1" applyFill="1" applyBorder="1" applyAlignment="1" applyProtection="1">
      <alignment horizontal="center"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0" fillId="14" borderId="107" xfId="0"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18" borderId="121" xfId="0" applyNumberFormat="1" applyFont="1" applyFill="1" applyBorder="1" applyAlignment="1" applyProtection="1">
      <alignment horizontal="center" vertical="center"/>
    </xf>
    <xf numFmtId="0" fontId="0" fillId="18"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18"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18" borderId="48" xfId="0" applyFill="1" applyBorder="1" applyAlignment="1" applyProtection="1">
      <alignment horizontal="center" vertical="center" shrinkToFit="1"/>
    </xf>
    <xf numFmtId="0" fontId="2" fillId="18" borderId="48" xfId="0" applyFont="1" applyFill="1" applyBorder="1" applyAlignment="1" applyProtection="1">
      <alignment horizontal="center" vertical="center" shrinkToFit="1"/>
    </xf>
    <xf numFmtId="0" fontId="2" fillId="18"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20"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18" borderId="10" xfId="0" applyNumberFormat="1" applyFont="1" applyFill="1" applyBorder="1" applyAlignment="1" applyProtection="1">
      <alignment horizontal="right" vertical="center" indent="1"/>
    </xf>
    <xf numFmtId="174" fontId="6" fillId="18" borderId="43" xfId="0" applyNumberFormat="1" applyFont="1" applyFill="1" applyBorder="1" applyAlignment="1" applyProtection="1">
      <alignment horizontal="right" vertical="center" indent="1"/>
    </xf>
    <xf numFmtId="174" fontId="6" fillId="18" borderId="8" xfId="0" applyNumberFormat="1" applyFont="1" applyFill="1" applyBorder="1" applyAlignment="1" applyProtection="1">
      <alignment horizontal="right" vertical="center" indent="1"/>
    </xf>
    <xf numFmtId="174" fontId="6" fillId="18" borderId="120" xfId="0" applyNumberFormat="1" applyFont="1" applyFill="1" applyBorder="1" applyAlignment="1" applyProtection="1">
      <alignment horizontal="right" vertical="center" indent="1"/>
    </xf>
    <xf numFmtId="174" fontId="47" fillId="18" borderId="52" xfId="0" applyNumberFormat="1" applyFont="1" applyFill="1" applyBorder="1" applyAlignment="1" applyProtection="1">
      <alignment horizontal="right" vertical="center" indent="1"/>
    </xf>
    <xf numFmtId="174" fontId="29" fillId="18" borderId="27" xfId="0" applyNumberFormat="1" applyFont="1" applyFill="1" applyBorder="1" applyAlignment="1" applyProtection="1">
      <alignment horizontal="right" vertical="center" indent="1"/>
    </xf>
    <xf numFmtId="174" fontId="40" fillId="18" borderId="122" xfId="0" applyNumberFormat="1" applyFont="1" applyFill="1" applyBorder="1" applyAlignment="1" applyProtection="1">
      <alignment horizontal="right" vertical="center" indent="1"/>
    </xf>
    <xf numFmtId="174" fontId="40" fillId="18" borderId="117" xfId="0" applyNumberFormat="1" applyFont="1" applyFill="1" applyBorder="1" applyAlignment="1" applyProtection="1">
      <alignment horizontal="right" vertical="center" indent="1"/>
    </xf>
    <xf numFmtId="174" fontId="40" fillId="18" borderId="123" xfId="0" applyNumberFormat="1" applyFont="1" applyFill="1" applyBorder="1" applyAlignment="1" applyProtection="1">
      <alignment horizontal="right" vertical="center" indent="1"/>
    </xf>
    <xf numFmtId="174" fontId="94" fillId="18" borderId="124" xfId="0" applyNumberFormat="1" applyFont="1" applyFill="1" applyBorder="1" applyAlignment="1" applyProtection="1">
      <alignment horizontal="right" vertical="center" indent="1"/>
    </xf>
    <xf numFmtId="174" fontId="94" fillId="18" borderId="69" xfId="0" applyNumberFormat="1" applyFont="1" applyFill="1" applyBorder="1" applyAlignment="1" applyProtection="1">
      <alignment horizontal="right" vertical="center" indent="1"/>
    </xf>
    <xf numFmtId="174" fontId="29" fillId="18" borderId="10" xfId="0" applyNumberFormat="1" applyFont="1" applyFill="1" applyBorder="1" applyAlignment="1" applyProtection="1">
      <alignment horizontal="right" vertical="center" indent="1"/>
    </xf>
    <xf numFmtId="174" fontId="40" fillId="18" borderId="43" xfId="0" applyNumberFormat="1" applyFont="1" applyFill="1" applyBorder="1" applyAlignment="1" applyProtection="1">
      <alignment horizontal="right" vertical="center" indent="1"/>
    </xf>
    <xf numFmtId="174" fontId="40" fillId="18" borderId="8" xfId="0" applyNumberFormat="1" applyFont="1" applyFill="1" applyBorder="1" applyAlignment="1" applyProtection="1">
      <alignment horizontal="right" vertical="center" indent="1"/>
    </xf>
    <xf numFmtId="174" fontId="40" fillId="18" borderId="120" xfId="0" applyNumberFormat="1" applyFont="1" applyFill="1" applyBorder="1" applyAlignment="1" applyProtection="1">
      <alignment horizontal="right" vertical="center" indent="1"/>
    </xf>
    <xf numFmtId="165" fontId="29" fillId="18" borderId="10" xfId="0" applyNumberFormat="1" applyFont="1" applyFill="1" applyBorder="1" applyAlignment="1" applyProtection="1">
      <alignment horizontal="right" vertical="center" indent="1"/>
    </xf>
    <xf numFmtId="165" fontId="40" fillId="18" borderId="43" xfId="0" applyNumberFormat="1" applyFont="1" applyFill="1" applyBorder="1" applyAlignment="1" applyProtection="1">
      <alignment horizontal="right" vertical="center" indent="1"/>
    </xf>
    <xf numFmtId="165" fontId="40" fillId="18" borderId="8" xfId="0" applyNumberFormat="1" applyFont="1" applyFill="1" applyBorder="1" applyAlignment="1" applyProtection="1">
      <alignment horizontal="right" vertical="center" indent="1"/>
    </xf>
    <xf numFmtId="165" fontId="40" fillId="18" borderId="120" xfId="0" applyNumberFormat="1" applyFont="1" applyFill="1" applyBorder="1" applyAlignment="1" applyProtection="1">
      <alignment horizontal="right" vertical="center" indent="1"/>
    </xf>
    <xf numFmtId="165" fontId="4" fillId="18" borderId="77" xfId="0" applyNumberFormat="1" applyFont="1" applyFill="1" applyBorder="1" applyAlignment="1" applyProtection="1">
      <alignment horizontal="right" vertical="center" indent="1"/>
    </xf>
    <xf numFmtId="165" fontId="6" fillId="18" borderId="60" xfId="0" applyNumberFormat="1" applyFont="1" applyFill="1" applyBorder="1" applyAlignment="1" applyProtection="1">
      <alignment horizontal="right" vertical="center" indent="1"/>
    </xf>
    <xf numFmtId="165" fontId="6" fillId="18" borderId="56" xfId="0" applyNumberFormat="1" applyFont="1" applyFill="1" applyBorder="1" applyAlignment="1" applyProtection="1">
      <alignment horizontal="right" vertical="center" indent="1"/>
    </xf>
    <xf numFmtId="165" fontId="6" fillId="18" borderId="125" xfId="0" applyNumberFormat="1" applyFont="1" applyFill="1" applyBorder="1" applyAlignment="1" applyProtection="1">
      <alignment horizontal="right" vertical="center" indent="1"/>
    </xf>
    <xf numFmtId="165" fontId="94" fillId="18" borderId="53" xfId="0" applyNumberFormat="1" applyFont="1" applyFill="1" applyBorder="1" applyAlignment="1" applyProtection="1">
      <alignment horizontal="right" vertical="center" indent="1"/>
    </xf>
    <xf numFmtId="165" fontId="47" fillId="18"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173" fontId="2" fillId="24" borderId="10" xfId="0" applyNumberFormat="1" applyFont="1" applyFill="1" applyBorder="1" applyAlignment="1" applyProtection="1">
      <alignment horizontal="center" vertical="center"/>
      <protection locked="0"/>
    </xf>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78" fillId="30" borderId="0" xfId="15" applyFont="1" applyFill="1" applyBorder="1" applyAlignment="1" applyProtection="1">
      <alignment vertical="top" wrapText="1"/>
    </xf>
    <xf numFmtId="0" fontId="78" fillId="30" borderId="0" xfId="15" applyFont="1" applyFill="1" applyAlignment="1" applyProtection="1">
      <alignment vertical="top" wrapText="1"/>
    </xf>
    <xf numFmtId="0" fontId="8" fillId="30" borderId="0" xfId="15" applyFill="1" applyBorder="1" applyAlignment="1" applyProtection="1">
      <alignment vertical="center" wrapText="1"/>
    </xf>
    <xf numFmtId="0" fontId="0" fillId="30" borderId="0" xfId="0" applyFill="1" applyProtection="1"/>
    <xf numFmtId="0" fontId="4" fillId="30"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2" fillId="20" borderId="0" xfId="0" applyFont="1" applyFill="1" applyAlignment="1" applyProtection="1">
      <alignment vertical="top" wrapText="1"/>
    </xf>
    <xf numFmtId="0" fontId="76" fillId="14" borderId="0" xfId="0" applyFont="1" applyFill="1" applyAlignment="1" applyProtection="1">
      <alignment vertical="top" wrapText="1"/>
    </xf>
    <xf numFmtId="0" fontId="108" fillId="14" borderId="0" xfId="0" applyNumberFormat="1" applyFont="1" applyFill="1" applyAlignment="1" applyProtection="1">
      <alignment horizontal="justify" vertical="top" wrapText="1"/>
    </xf>
    <xf numFmtId="0" fontId="4" fillId="14" borderId="0" xfId="0" applyFont="1" applyFill="1" applyAlignment="1" applyProtection="1">
      <alignment horizontal="justify" vertical="top" wrapText="1"/>
    </xf>
    <xf numFmtId="0" fontId="73" fillId="14" borderId="0" xfId="0" applyFont="1" applyFill="1" applyAlignment="1" applyProtection="1">
      <alignment horizontal="left" vertical="top" wrapText="1"/>
    </xf>
    <xf numFmtId="0" fontId="4" fillId="27" borderId="18"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0" xfId="0" applyNumberFormat="1" applyFont="1" applyFill="1" applyAlignment="1" applyProtection="1">
      <alignment horizontal="justify" vertical="top" wrapText="1"/>
    </xf>
    <xf numFmtId="0" fontId="76" fillId="14" borderId="0" xfId="0" applyFont="1" applyFill="1" applyAlignment="1" applyProtection="1">
      <alignment horizontal="justify" vertical="top" wrapText="1"/>
    </xf>
    <xf numFmtId="0" fontId="74" fillId="14" borderId="0" xfId="0" applyNumberFormat="1" applyFont="1" applyFill="1" applyAlignment="1" applyProtection="1">
      <alignment horizontal="left" vertical="top" wrapText="1"/>
    </xf>
    <xf numFmtId="0" fontId="76" fillId="14" borderId="0" xfId="0" applyFont="1" applyFill="1" applyAlignment="1" applyProtection="1">
      <alignment horizontal="left" vertical="top" wrapText="1"/>
    </xf>
    <xf numFmtId="0" fontId="74" fillId="14" borderId="40"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65" fillId="14" borderId="0" xfId="0" applyFont="1" applyFill="1" applyAlignment="1" applyProtection="1">
      <alignment horizontal="justify" vertical="top" wrapText="1"/>
    </xf>
    <xf numFmtId="0" fontId="65" fillId="14" borderId="0" xfId="0" applyFont="1" applyFill="1" applyBorder="1" applyAlignment="1" applyProtection="1">
      <alignment horizontal="justify" vertical="top" wrapText="1"/>
    </xf>
    <xf numFmtId="164" fontId="0" fillId="24" borderId="10" xfId="0" applyNumberFormat="1"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164" fontId="0" fillId="18" borderId="10" xfId="0" applyNumberFormat="1" applyFill="1" applyBorder="1" applyAlignment="1" applyProtection="1">
      <alignment vertical="top" wrapText="1"/>
    </xf>
    <xf numFmtId="0" fontId="76" fillId="14" borderId="10" xfId="0" applyFont="1" applyFill="1" applyBorder="1" applyAlignment="1" applyProtection="1">
      <alignment vertical="top" wrapText="1"/>
    </xf>
    <xf numFmtId="0" fontId="0" fillId="33" borderId="10" xfId="0" applyFill="1" applyBorder="1" applyAlignment="1" applyProtection="1">
      <alignment vertical="top" wrapText="1"/>
    </xf>
    <xf numFmtId="0" fontId="0" fillId="20" borderId="10" xfId="0" applyFill="1" applyBorder="1" applyAlignment="1" applyProtection="1">
      <alignment vertical="top" wrapText="1"/>
    </xf>
    <xf numFmtId="0" fontId="0" fillId="23" borderId="10" xfId="0"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64" fillId="14" borderId="0" xfId="0" applyFont="1" applyFill="1" applyAlignment="1" applyProtection="1">
      <alignment horizontal="justify" vertical="top" wrapText="1"/>
    </xf>
    <xf numFmtId="0" fontId="0" fillId="28" borderId="10" xfId="0" applyFill="1" applyBorder="1" applyAlignment="1" applyProtection="1">
      <alignment vertical="top" wrapText="1"/>
    </xf>
    <xf numFmtId="0" fontId="44" fillId="14" borderId="14" xfId="0" applyFont="1" applyFill="1" applyBorder="1" applyAlignment="1" applyProtection="1">
      <alignment vertical="top" wrapText="1"/>
    </xf>
    <xf numFmtId="0" fontId="34" fillId="14" borderId="0" xfId="0" applyNumberFormat="1" applyFont="1" applyFill="1" applyAlignment="1" applyProtection="1">
      <alignment horizontal="left" vertical="top" wrapText="1"/>
    </xf>
    <xf numFmtId="0" fontId="4" fillId="30" borderId="0" xfId="0" applyFont="1" applyFill="1" applyAlignment="1" applyProtection="1">
      <alignment horizontal="left" vertical="top" wrapText="1"/>
    </xf>
    <xf numFmtId="0" fontId="71" fillId="14" borderId="0" xfId="0" applyFont="1" applyFill="1" applyAlignment="1" applyProtection="1">
      <alignment horizontal="justify" vertical="top" wrapText="1"/>
    </xf>
    <xf numFmtId="0" fontId="71" fillId="14" borderId="0" xfId="0" applyFont="1" applyFill="1" applyBorder="1" applyAlignment="1" applyProtection="1">
      <alignment horizontal="justify" vertical="top" wrapText="1"/>
    </xf>
    <xf numFmtId="0" fontId="64" fillId="14" borderId="0" xfId="0" applyFont="1" applyFill="1" applyAlignment="1" applyProtection="1">
      <alignment vertical="top" wrapText="1"/>
    </xf>
    <xf numFmtId="0" fontId="65" fillId="14" borderId="0" xfId="0" applyFont="1" applyFill="1" applyAlignment="1" applyProtection="1">
      <alignment vertical="top" wrapText="1"/>
    </xf>
    <xf numFmtId="0" fontId="72" fillId="14" borderId="0" xfId="0" applyFont="1" applyFill="1" applyAlignment="1" applyProtection="1">
      <alignment horizontal="left" vertical="top" wrapText="1"/>
    </xf>
    <xf numFmtId="0" fontId="71" fillId="14" borderId="0" xfId="15" applyFont="1" applyFill="1" applyAlignment="1" applyProtection="1"/>
    <xf numFmtId="0" fontId="65" fillId="14" borderId="0" xfId="0" applyFont="1" applyFill="1" applyAlignment="1" applyProtection="1"/>
    <xf numFmtId="0" fontId="8" fillId="14" borderId="0" xfId="15" applyFill="1" applyAlignment="1" applyProtection="1"/>
    <xf numFmtId="0" fontId="2" fillId="20" borderId="64" xfId="0" applyFont="1" applyFill="1" applyBorder="1" applyAlignment="1" applyProtection="1">
      <alignment horizontal="center" vertical="top" wrapText="1"/>
    </xf>
    <xf numFmtId="0" fontId="2" fillId="20" borderId="0" xfId="0" applyFont="1" applyFill="1" applyBorder="1" applyAlignment="1" applyProtection="1">
      <alignment horizontal="center" vertical="top" wrapText="1"/>
    </xf>
    <xf numFmtId="0" fontId="27" fillId="14" borderId="0" xfId="15"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4" fillId="20"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0" fillId="0" borderId="97" xfId="0" applyBorder="1" applyAlignment="1" applyProtection="1">
      <alignment horizontal="center" vertical="top" wrapText="1"/>
    </xf>
    <xf numFmtId="0" fontId="8" fillId="20"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20" borderId="121" xfId="15" applyFill="1" applyBorder="1" applyAlignment="1" applyProtection="1">
      <alignment horizontal="center" vertical="top" wrapText="1"/>
    </xf>
    <xf numFmtId="0" fontId="4" fillId="20" borderId="19" xfId="0" applyFont="1" applyFill="1" applyBorder="1" applyAlignment="1" applyProtection="1">
      <alignment horizontal="center"/>
    </xf>
    <xf numFmtId="0" fontId="4" fillId="20" borderId="20" xfId="0" applyFont="1" applyFill="1" applyBorder="1" applyAlignment="1" applyProtection="1">
      <alignment horizontal="center"/>
    </xf>
    <xf numFmtId="0" fontId="8" fillId="20" borderId="10" xfId="15" applyFill="1" applyBorder="1" applyAlignment="1" applyProtection="1">
      <alignment horizontal="center" vertical="center"/>
    </xf>
    <xf numFmtId="0" fontId="8" fillId="20" borderId="18" xfId="15" applyFill="1" applyBorder="1" applyAlignment="1" applyProtection="1">
      <alignment horizontal="center"/>
    </xf>
    <xf numFmtId="0" fontId="8" fillId="20"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10" fillId="14" borderId="0" xfId="0" applyNumberFormat="1" applyFont="1" applyFill="1" applyBorder="1" applyAlignment="1" applyProtection="1">
      <alignment vertical="top" wrapText="1"/>
    </xf>
    <xf numFmtId="0" fontId="79" fillId="13" borderId="0" xfId="0" applyNumberFormat="1" applyFont="1" applyFill="1" applyAlignment="1" applyProtection="1">
      <alignment horizontal="left" vertical="center" wrapText="1"/>
    </xf>
    <xf numFmtId="0" fontId="104" fillId="13" borderId="0" xfId="0" applyFont="1" applyFill="1" applyAlignment="1" applyProtection="1">
      <alignment horizontal="left" vertical="center" wrapText="1"/>
    </xf>
    <xf numFmtId="0" fontId="0" fillId="0" borderId="0" xfId="0" applyAlignment="1" applyProtection="1">
      <alignment vertical="center" wrapText="1"/>
    </xf>
    <xf numFmtId="0" fontId="2" fillId="14" borderId="0" xfId="0" applyNumberFormat="1" applyFont="1" applyFill="1" applyBorder="1" applyAlignment="1" applyProtection="1">
      <alignment vertical="top" wrapText="1"/>
    </xf>
    <xf numFmtId="0" fontId="8" fillId="14" borderId="0" xfId="15" applyFill="1" applyAlignment="1" applyProtection="1">
      <alignment horizontal="left" vertical="top" wrapText="1"/>
    </xf>
    <xf numFmtId="0" fontId="8" fillId="20" borderId="142" xfId="15" applyFill="1" applyBorder="1" applyAlignment="1" applyProtection="1">
      <alignment horizontal="center" vertical="top" wrapText="1"/>
    </xf>
    <xf numFmtId="0" fontId="8" fillId="20" borderId="143"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20" borderId="144" xfId="15" applyFill="1" applyBorder="1" applyAlignment="1" applyProtection="1">
      <alignment horizontal="center"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8" fillId="20" borderId="123" xfId="15" applyFill="1" applyBorder="1" applyAlignment="1" applyProtection="1">
      <alignment horizontal="center" vertical="top" wrapText="1"/>
    </xf>
    <xf numFmtId="0" fontId="4" fillId="20" borderId="18" xfId="0" applyFont="1" applyFill="1" applyBorder="1" applyAlignment="1" applyProtection="1">
      <alignment horizontal="center"/>
    </xf>
    <xf numFmtId="0" fontId="8" fillId="20" borderId="139" xfId="15" applyFill="1" applyBorder="1" applyAlignment="1" applyProtection="1">
      <alignment horizontal="center" vertical="top" wrapText="1"/>
    </xf>
    <xf numFmtId="0" fontId="8" fillId="20" borderId="140" xfId="15" applyFill="1" applyBorder="1" applyAlignment="1" applyProtection="1">
      <alignment horizontal="center" vertical="top" wrapText="1"/>
    </xf>
    <xf numFmtId="0" fontId="8" fillId="20" borderId="145" xfId="15" applyFill="1" applyBorder="1" applyAlignment="1" applyProtection="1">
      <alignment horizontal="center" vertical="top" wrapText="1"/>
    </xf>
    <xf numFmtId="0" fontId="8" fillId="20" borderId="141" xfId="15" applyFill="1" applyBorder="1" applyAlignment="1" applyProtection="1">
      <alignment horizontal="center" vertical="top" wrapText="1"/>
    </xf>
    <xf numFmtId="0" fontId="4" fillId="14" borderId="0" xfId="0" applyFont="1" applyFill="1" applyBorder="1" applyAlignment="1" applyProtection="1">
      <alignment horizontal="left" vertical="top" wrapText="1"/>
    </xf>
    <xf numFmtId="0" fontId="90" fillId="23" borderId="10" xfId="0" applyFont="1" applyFill="1" applyBorder="1" applyAlignment="1" applyProtection="1">
      <alignment horizontal="center" vertical="center"/>
      <protection locked="0"/>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0" xfId="0" applyNumberFormat="1" applyFont="1" applyFill="1" applyBorder="1" applyAlignment="1" applyProtection="1">
      <alignment horizontal="left" vertical="top"/>
      <protection locked="0"/>
    </xf>
    <xf numFmtId="0" fontId="69" fillId="14"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14" borderId="0" xfId="0" applyFont="1" applyFill="1" applyBorder="1" applyAlignment="1" applyProtection="1">
      <alignment horizontal="left" vertical="center" wrapText="1"/>
    </xf>
    <xf numFmtId="0" fontId="38" fillId="20" borderId="0" xfId="0" applyFont="1" applyFill="1" applyBorder="1" applyAlignment="1" applyProtection="1">
      <alignment horizontal="left" vertical="top" wrapText="1"/>
    </xf>
    <xf numFmtId="0" fontId="76" fillId="14" borderId="32" xfId="0" applyFont="1" applyFill="1" applyBorder="1" applyAlignment="1" applyProtection="1"/>
    <xf numFmtId="0" fontId="40" fillId="20"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Alignment="1" applyProtection="1">
      <alignment vertical="top" wrapText="1"/>
    </xf>
    <xf numFmtId="0" fontId="4" fillId="20" borderId="63" xfId="0" applyFont="1" applyFill="1" applyBorder="1" applyAlignment="1" applyProtection="1">
      <alignment horizontal="center" vertical="center" wrapText="1"/>
    </xf>
    <xf numFmtId="0" fontId="4" fillId="20" borderId="61" xfId="0" applyFont="1" applyFill="1" applyBorder="1" applyAlignment="1" applyProtection="1">
      <alignment horizontal="center" vertical="center" wrapText="1"/>
    </xf>
    <xf numFmtId="0" fontId="4" fillId="20" borderId="108" xfId="0" applyFont="1" applyFill="1" applyBorder="1" applyAlignment="1" applyProtection="1">
      <alignment horizontal="center" vertical="center" wrapText="1"/>
    </xf>
    <xf numFmtId="0" fontId="4" fillId="20" borderId="66" xfId="0" applyFont="1" applyFill="1" applyBorder="1" applyAlignment="1" applyProtection="1">
      <alignment horizontal="center" vertical="center" wrapText="1"/>
    </xf>
    <xf numFmtId="0" fontId="4" fillId="20" borderId="0" xfId="0" applyFont="1" applyFill="1" applyBorder="1" applyAlignment="1" applyProtection="1">
      <alignment horizontal="center" vertical="center" wrapText="1"/>
    </xf>
    <xf numFmtId="0" fontId="4" fillId="20" borderId="93" xfId="0" applyFont="1" applyFill="1" applyBorder="1" applyAlignment="1" applyProtection="1">
      <alignment horizontal="center" vertical="center" wrapText="1"/>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49" fontId="2" fillId="23" borderId="133"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32" borderId="138" xfId="0" applyNumberFormat="1" applyFon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49" fontId="2" fillId="23" borderId="33" xfId="0" applyNumberFormat="1" applyFont="1" applyFill="1" applyBorder="1" applyAlignment="1" applyProtection="1">
      <alignment horizontal="left" vertical="top"/>
      <protection locked="0"/>
    </xf>
    <xf numFmtId="49" fontId="2" fillId="23" borderId="14" xfId="0" applyNumberFormat="1" applyFont="1" applyFill="1" applyBorder="1" applyAlignment="1" applyProtection="1">
      <alignment horizontal="left" vertical="top"/>
      <protection locked="0"/>
    </xf>
    <xf numFmtId="49" fontId="2" fillId="23" borderId="34" xfId="0" applyNumberFormat="1" applyFont="1" applyFill="1" applyBorder="1" applyAlignment="1" applyProtection="1">
      <alignment horizontal="left" vertical="top"/>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49" fontId="2" fillId="24" borderId="132" xfId="0" applyNumberFormat="1" applyFont="1" applyFill="1" applyBorder="1" applyAlignment="1" applyProtection="1">
      <alignment horizontal="left" vertical="top" wrapText="1"/>
      <protection locked="0"/>
    </xf>
    <xf numFmtId="49" fontId="2" fillId="32" borderId="120" xfId="0" applyNumberFormat="1" applyFont="1" applyFill="1" applyBorder="1" applyAlignment="1" applyProtection="1">
      <alignment horizontal="left" vertical="top" wrapText="1"/>
      <protection locked="0"/>
    </xf>
    <xf numFmtId="0" fontId="76" fillId="14" borderId="0" xfId="0" applyFont="1" applyFill="1" applyBorder="1" applyAlignment="1" applyProtection="1">
      <alignment vertical="top" wrapText="1"/>
    </xf>
    <xf numFmtId="49" fontId="2" fillId="32" borderId="137"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protection locked="0"/>
    </xf>
    <xf numFmtId="49" fontId="2" fillId="23" borderId="64" xfId="0" applyNumberFormat="1" applyFont="1" applyFill="1" applyBorder="1" applyAlignment="1" applyProtection="1">
      <alignment horizontal="left" vertical="top"/>
      <protection locked="0"/>
    </xf>
    <xf numFmtId="49" fontId="2" fillId="23" borderId="29" xfId="0" applyNumberFormat="1" applyFont="1" applyFill="1" applyBorder="1" applyAlignment="1" applyProtection="1">
      <alignment horizontal="left" vertical="top"/>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0" fontId="46" fillId="14" borderId="66" xfId="0" applyFont="1" applyFill="1" applyBorder="1" applyAlignment="1" applyProtection="1">
      <alignment horizontal="center"/>
    </xf>
    <xf numFmtId="49" fontId="2" fillId="24" borderId="131"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2" fillId="23" borderId="136"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49" fontId="2" fillId="23" borderId="131"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2" fillId="23" borderId="65" xfId="0" applyNumberFormat="1" applyFont="1" applyFill="1" applyBorder="1" applyAlignment="1" applyProtection="1">
      <alignment horizontal="left" vertical="top" wrapText="1"/>
      <protection locked="0"/>
    </xf>
    <xf numFmtId="0" fontId="2" fillId="35" borderId="10" xfId="0" applyNumberFormat="1" applyFont="1" applyFill="1" applyBorder="1" applyAlignment="1" applyProtection="1">
      <alignment horizontal="left" vertical="center" wrapText="1" shrinkToFi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protection locked="0"/>
    </xf>
    <xf numFmtId="49" fontId="2" fillId="23" borderId="0" xfId="0" applyNumberFormat="1" applyFont="1" applyFill="1" applyBorder="1" applyAlignment="1" applyProtection="1">
      <alignment horizontal="left" vertical="top"/>
      <protection locked="0"/>
    </xf>
    <xf numFmtId="49" fontId="2" fillId="23" borderId="32" xfId="0" applyNumberFormat="1" applyFont="1" applyFill="1" applyBorder="1" applyAlignment="1" applyProtection="1">
      <alignment horizontal="left" vertical="top"/>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5" fillId="14" borderId="0" xfId="0" applyFont="1" applyFill="1" applyBorder="1" applyAlignment="1" applyProtection="1">
      <alignment horizontal="left" vertical="top" wrapText="1"/>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8" fillId="14" borderId="0" xfId="15" applyFill="1" applyAlignment="1" applyProtection="1">
      <alignment horizontal="left"/>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66" fillId="20" borderId="10" xfId="0" applyFont="1" applyFill="1" applyBorder="1" applyAlignment="1" applyProtection="1">
      <alignment horizontal="left"/>
    </xf>
    <xf numFmtId="0" fontId="4" fillId="20" borderId="83" xfId="0" applyFont="1" applyFill="1" applyBorder="1" applyAlignment="1" applyProtection="1">
      <alignment horizontal="center" vertical="center" wrapText="1"/>
    </xf>
    <xf numFmtId="0" fontId="4" fillId="20" borderId="40" xfId="0" applyFont="1" applyFill="1" applyBorder="1" applyAlignment="1" applyProtection="1">
      <alignment horizontal="center" vertical="center" wrapText="1"/>
    </xf>
    <xf numFmtId="0" fontId="4" fillId="20" borderId="97" xfId="0" applyFont="1" applyFill="1" applyBorder="1" applyAlignment="1" applyProtection="1">
      <alignment horizontal="center" vertical="center" wrapText="1"/>
    </xf>
    <xf numFmtId="0" fontId="6" fillId="32" borderId="10"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2" fillId="18" borderId="10" xfId="0" applyFont="1" applyFill="1" applyBorder="1" applyAlignment="1" applyProtection="1">
      <alignment horizontal="left" vertical="top" wrapText="1" indent="1"/>
    </xf>
    <xf numFmtId="0" fontId="0" fillId="18" borderId="10" xfId="0" applyFill="1" applyBorder="1" applyAlignment="1" applyProtection="1">
      <alignment horizontal="left" vertical="top" wrapText="1" indent="1"/>
    </xf>
    <xf numFmtId="0" fontId="105" fillId="14" borderId="0" xfId="15" applyFont="1" applyFill="1" applyBorder="1" applyAlignment="1" applyProtection="1">
      <alignment horizontal="left" vertical="top" wrapText="1"/>
    </xf>
    <xf numFmtId="0" fontId="2" fillId="14" borderId="10" xfId="0" applyFont="1" applyFill="1" applyBorder="1" applyAlignment="1" applyProtection="1">
      <alignment horizontal="left" vertical="center"/>
    </xf>
    <xf numFmtId="0" fontId="4" fillId="18" borderId="25" xfId="0" applyFont="1" applyFill="1" applyBorder="1" applyAlignment="1" applyProtection="1">
      <alignment horizontal="center" vertical="center"/>
    </xf>
    <xf numFmtId="0" fontId="4" fillId="18" borderId="26" xfId="0" applyFont="1" applyFill="1" applyBorder="1" applyAlignment="1" applyProtection="1">
      <alignment horizontal="center" vertical="center"/>
    </xf>
    <xf numFmtId="0" fontId="4" fillId="18" borderId="27" xfId="0" applyFont="1" applyFill="1" applyBorder="1" applyAlignment="1" applyProtection="1">
      <alignment horizontal="center" vertical="center"/>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20" borderId="0" xfId="0" applyFont="1" applyFill="1" applyBorder="1" applyAlignment="1" applyProtection="1">
      <alignment horizontal="left" vertical="top" wrapText="1"/>
    </xf>
    <xf numFmtId="0" fontId="7" fillId="14" borderId="10" xfId="0"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0" fontId="48" fillId="18" borderId="146" xfId="0" applyNumberFormat="1" applyFont="1" applyFill="1" applyBorder="1" applyAlignment="1" applyProtection="1">
      <alignment horizontal="left" vertical="center"/>
    </xf>
    <xf numFmtId="0" fontId="48" fillId="18" borderId="50" xfId="0" applyNumberFormat="1" applyFont="1" applyFill="1" applyBorder="1" applyAlignment="1" applyProtection="1">
      <alignment horizontal="lef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7" fillId="18" borderId="18" xfId="0" applyFont="1" applyFill="1" applyBorder="1" applyAlignment="1" applyProtection="1">
      <alignment horizontal="center" vertical="center"/>
    </xf>
    <xf numFmtId="0" fontId="47" fillId="18" borderId="20" xfId="0" applyFont="1" applyFill="1" applyBorder="1" applyAlignment="1" applyProtection="1">
      <alignment horizontal="center" vertical="center"/>
    </xf>
    <xf numFmtId="0" fontId="0" fillId="18" borderId="52" xfId="0" applyFill="1" applyBorder="1" applyAlignment="1" applyProtection="1">
      <alignment horizontal="left" vertical="center"/>
    </xf>
    <xf numFmtId="0" fontId="0" fillId="18" borderId="53" xfId="0" applyFill="1" applyBorder="1" applyAlignment="1" applyProtection="1">
      <alignment horizontal="left" vertical="center"/>
    </xf>
    <xf numFmtId="0" fontId="0" fillId="18"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106" fillId="14" borderId="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 fillId="14" borderId="40" xfId="0" applyFont="1" applyFill="1" applyBorder="1" applyAlignment="1" applyProtection="1">
      <alignment horizontal="center" vertical="center"/>
    </xf>
    <xf numFmtId="0" fontId="0" fillId="0" borderId="147" xfId="0" applyBorder="1" applyAlignment="1" applyProtection="1">
      <alignment vertical="center"/>
    </xf>
    <xf numFmtId="0" fontId="4" fillId="14" borderId="49"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38" fillId="14" borderId="50" xfId="0" applyNumberFormat="1"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top" wrapText="1"/>
      <protection locked="0"/>
    </xf>
    <xf numFmtId="0" fontId="2" fillId="24" borderId="26" xfId="0" applyNumberFormat="1" applyFont="1" applyFill="1" applyBorder="1" applyAlignment="1" applyProtection="1">
      <alignment horizontal="left" vertical="top" wrapText="1"/>
      <protection locked="0"/>
    </xf>
    <xf numFmtId="0" fontId="2" fillId="24" borderId="27" xfId="0" applyNumberFormat="1" applyFont="1" applyFill="1" applyBorder="1" applyAlignment="1" applyProtection="1">
      <alignment horizontal="left" vertical="top" wrapText="1"/>
      <protection locked="0"/>
    </xf>
    <xf numFmtId="0" fontId="8" fillId="20" borderId="25" xfId="15" applyFill="1" applyBorder="1" applyAlignment="1" applyProtection="1">
      <alignment horizontal="center" vertical="center"/>
    </xf>
    <xf numFmtId="0" fontId="8" fillId="20" borderId="26" xfId="15" applyFill="1" applyBorder="1" applyAlignment="1" applyProtection="1">
      <alignment horizontal="center" vertical="center"/>
    </xf>
    <xf numFmtId="0" fontId="8" fillId="20" borderId="27" xfId="15" applyFill="1" applyBorder="1" applyAlignment="1" applyProtection="1">
      <alignment horizontal="center" vertical="center"/>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8" fillId="20" borderId="146" xfId="15" applyFill="1" applyBorder="1" applyAlignment="1" applyProtection="1">
      <alignment horizontal="center" vertical="top" wrapText="1"/>
    </xf>
    <xf numFmtId="0" fontId="8" fillId="20" borderId="148" xfId="15" applyFill="1" applyBorder="1" applyAlignment="1" applyProtection="1">
      <alignment horizontal="center" vertical="top" wrapText="1"/>
    </xf>
    <xf numFmtId="0" fontId="30" fillId="18" borderId="18" xfId="0" applyFont="1" applyFill="1" applyBorder="1" applyAlignment="1" applyProtection="1">
      <alignment horizontal="center" vertical="center"/>
    </xf>
    <xf numFmtId="0" fontId="30" fillId="18" borderId="19" xfId="0" applyFont="1" applyFill="1" applyBorder="1" applyAlignment="1" applyProtection="1">
      <alignment horizontal="center" vertical="center"/>
    </xf>
    <xf numFmtId="0" fontId="30" fillId="18" borderId="20" xfId="0" applyFont="1" applyFill="1" applyBorder="1" applyAlignment="1" applyProtection="1">
      <alignment horizontal="center" vertical="center"/>
    </xf>
    <xf numFmtId="0" fontId="2" fillId="20" borderId="61" xfId="0" applyFont="1" applyFill="1" applyBorder="1" applyAlignment="1" applyProtection="1">
      <alignment horizontal="center" vertical="center" wrapText="1"/>
    </xf>
    <xf numFmtId="0" fontId="2" fillId="20" borderId="108" xfId="0" applyFont="1" applyFill="1" applyBorder="1" applyAlignment="1" applyProtection="1">
      <alignment horizontal="center" vertical="center" wrapText="1"/>
    </xf>
    <xf numFmtId="0" fontId="0" fillId="20" borderId="66" xfId="0" applyFill="1" applyBorder="1" applyAlignment="1" applyProtection="1">
      <alignment horizontal="center" vertical="center" wrapText="1"/>
    </xf>
    <xf numFmtId="0" fontId="0" fillId="20" borderId="0" xfId="0" applyFill="1" applyBorder="1" applyAlignment="1" applyProtection="1">
      <alignment horizontal="center" vertical="center" wrapText="1"/>
    </xf>
    <xf numFmtId="0" fontId="0" fillId="20" borderId="93" xfId="0" applyFill="1" applyBorder="1" applyAlignment="1" applyProtection="1">
      <alignment horizontal="center" vertical="center" wrapText="1"/>
    </xf>
    <xf numFmtId="0" fontId="0" fillId="20" borderId="83" xfId="0" applyFill="1" applyBorder="1" applyAlignment="1" applyProtection="1">
      <alignment horizontal="center" vertical="center" wrapText="1"/>
    </xf>
    <xf numFmtId="0" fontId="0" fillId="20" borderId="40" xfId="0" applyFill="1" applyBorder="1" applyAlignment="1" applyProtection="1">
      <alignment horizontal="center" vertical="center" wrapText="1"/>
    </xf>
    <xf numFmtId="0" fontId="0" fillId="20" borderId="97" xfId="0" applyFill="1" applyBorder="1" applyAlignment="1" applyProtection="1">
      <alignment horizontal="center" vertical="center" wrapText="1"/>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20" borderId="128" xfId="15" applyFont="1" applyFill="1" applyBorder="1" applyAlignment="1" applyProtection="1">
      <alignment horizontal="center" vertical="top" wrapText="1"/>
    </xf>
    <xf numFmtId="0" fontId="0" fillId="23" borderId="31" xfId="0" applyFill="1" applyBorder="1" applyAlignment="1" applyProtection="1">
      <alignment horizontal="left" vertical="top" wrapText="1"/>
      <protection locked="0"/>
    </xf>
    <xf numFmtId="0" fontId="0" fillId="23" borderId="0" xfId="0" applyFill="1" applyBorder="1" applyAlignment="1" applyProtection="1">
      <alignment horizontal="left" vertical="top" wrapText="1"/>
      <protection locked="0"/>
    </xf>
    <xf numFmtId="0" fontId="0" fillId="23" borderId="32" xfId="0" applyFill="1" applyBorder="1" applyAlignment="1" applyProtection="1">
      <alignment horizontal="left" vertical="top" wrapText="1"/>
      <protection locked="0"/>
    </xf>
    <xf numFmtId="0" fontId="0" fillId="23" borderId="33" xfId="0" applyFill="1" applyBorder="1" applyAlignment="1" applyProtection="1">
      <alignment horizontal="left" vertical="top" wrapText="1"/>
      <protection locked="0"/>
    </xf>
    <xf numFmtId="0" fontId="0" fillId="23" borderId="14" xfId="0" applyFill="1" applyBorder="1" applyAlignment="1" applyProtection="1">
      <alignment horizontal="left" vertical="top" wrapText="1"/>
      <protection locked="0"/>
    </xf>
    <xf numFmtId="0" fontId="0" fillId="23" borderId="34" xfId="0" applyFill="1" applyBorder="1" applyAlignment="1" applyProtection="1">
      <alignment horizontal="left" vertical="top" wrapText="1"/>
      <protection locked="0"/>
    </xf>
    <xf numFmtId="0" fontId="59" fillId="14" borderId="50" xfId="0"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0" fillId="23" borderId="28" xfId="0" applyFill="1" applyBorder="1" applyAlignment="1" applyProtection="1">
      <alignment horizontal="left" vertical="top" wrapText="1"/>
      <protection locked="0"/>
    </xf>
    <xf numFmtId="0" fontId="0" fillId="23" borderId="64" xfId="0" applyFill="1" applyBorder="1" applyAlignment="1" applyProtection="1">
      <alignment horizontal="left" vertical="top" wrapText="1"/>
      <protection locked="0"/>
    </xf>
    <xf numFmtId="0" fontId="0" fillId="23" borderId="29" xfId="0" applyFill="1" applyBorder="1" applyAlignment="1" applyProtection="1">
      <alignment horizontal="left" vertical="top" wrapText="1"/>
      <protection locked="0"/>
    </xf>
    <xf numFmtId="0" fontId="2" fillId="14" borderId="0" xfId="0" applyFont="1" applyFill="1" applyBorder="1" applyAlignment="1" applyProtection="1">
      <alignment vertical="top" wrapText="1"/>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0" fillId="18" borderId="62" xfId="0" applyFill="1" applyBorder="1" applyAlignment="1" applyProtection="1">
      <alignment horizontal="center" vertical="center"/>
    </xf>
    <xf numFmtId="0" fontId="0" fillId="18" borderId="39" xfId="0" applyFill="1" applyBorder="1" applyAlignment="1" applyProtection="1">
      <alignment horizontal="center" vertical="center"/>
    </xf>
    <xf numFmtId="0" fontId="0" fillId="18" borderId="18" xfId="0" applyFill="1" applyBorder="1" applyAlignment="1" applyProtection="1">
      <alignment horizontal="center" vertical="center"/>
    </xf>
    <xf numFmtId="0" fontId="0" fillId="18" borderId="20" xfId="0" applyFill="1" applyBorder="1" applyAlignment="1" applyProtection="1">
      <alignment horizontal="center" vertical="center"/>
    </xf>
    <xf numFmtId="0" fontId="4" fillId="24" borderId="10" xfId="0" applyNumberFormat="1" applyFont="1" applyFill="1" applyBorder="1" applyAlignment="1" applyProtection="1">
      <alignment horizontal="left" vertical="center"/>
      <protection locked="0"/>
    </xf>
    <xf numFmtId="0" fontId="48" fillId="18" borderId="149" xfId="0" applyNumberFormat="1" applyFont="1" applyFill="1" applyBorder="1" applyAlignment="1" applyProtection="1">
      <alignment horizontal="left" vertical="center"/>
    </xf>
    <xf numFmtId="0" fontId="48" fillId="18" borderId="49" xfId="0" applyNumberFormat="1" applyFont="1" applyFill="1" applyBorder="1" applyAlignment="1" applyProtection="1">
      <alignment horizontal="left" vertical="center"/>
    </xf>
    <xf numFmtId="0" fontId="0" fillId="18" borderId="44" xfId="0" applyFill="1" applyBorder="1" applyAlignment="1" applyProtection="1">
      <alignment horizontal="center" vertical="center"/>
    </xf>
    <xf numFmtId="0" fontId="0" fillId="18" borderId="36" xfId="0" applyFill="1" applyBorder="1" applyAlignment="1" applyProtection="1">
      <alignment horizontal="center" vertical="center"/>
    </xf>
    <xf numFmtId="0" fontId="0" fillId="18" borderId="45" xfId="0" applyFill="1" applyBorder="1" applyAlignment="1" applyProtection="1">
      <alignment horizontal="center" vertical="center"/>
    </xf>
    <xf numFmtId="0" fontId="0" fillId="18" borderId="37" xfId="0" applyFill="1" applyBorder="1" applyAlignment="1" applyProtection="1">
      <alignment horizontal="center" vertical="center"/>
    </xf>
    <xf numFmtId="0" fontId="48" fillId="18" borderId="144" xfId="0" applyNumberFormat="1" applyFont="1" applyFill="1" applyBorder="1" applyAlignment="1" applyProtection="1">
      <alignment horizontal="left" vertical="center"/>
    </xf>
    <xf numFmtId="0" fontId="48" fillId="18" borderId="82" xfId="0" applyNumberFormat="1" applyFont="1" applyFill="1" applyBorder="1" applyAlignment="1" applyProtection="1">
      <alignment horizontal="left" vertical="center"/>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18" borderId="10" xfId="0" applyNumberFormat="1" applyFont="1" applyFill="1" applyBorder="1" applyAlignment="1" applyProtection="1">
      <alignment horizontal="left" vertical="top" wrapText="1"/>
    </xf>
    <xf numFmtId="1" fontId="2" fillId="18" borderId="10" xfId="0" applyNumberFormat="1" applyFont="1" applyFill="1" applyBorder="1" applyAlignment="1" applyProtection="1">
      <alignment horizontal="left" vertical="top" wrapText="1"/>
    </xf>
    <xf numFmtId="0" fontId="2" fillId="18"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20" borderId="150" xfId="15" applyFill="1" applyBorder="1" applyAlignment="1" applyProtection="1"/>
    <xf numFmtId="0" fontId="8" fillId="20" borderId="86" xfId="15" applyFill="1" applyBorder="1" applyAlignment="1" applyProtection="1"/>
    <xf numFmtId="0" fontId="8" fillId="20" borderId="139" xfId="15" quotePrefix="1" applyFill="1" applyBorder="1" applyAlignment="1" applyProtection="1">
      <alignment horizontal="center"/>
    </xf>
    <xf numFmtId="0" fontId="8" fillId="20" borderId="140" xfId="15" applyFill="1" applyBorder="1" applyAlignment="1" applyProtection="1">
      <alignment horizontal="center"/>
    </xf>
    <xf numFmtId="0" fontId="8" fillId="20" borderId="106" xfId="15" applyFont="1" applyFill="1" applyBorder="1" applyAlignment="1" applyProtection="1">
      <alignment horizontal="center" vertical="top" wrapText="1"/>
    </xf>
    <xf numFmtId="0" fontId="8" fillId="20" borderId="151" xfId="15" applyFill="1" applyBorder="1" applyAlignment="1" applyProtection="1">
      <alignment horizontal="center" vertical="top" wrapText="1"/>
    </xf>
    <xf numFmtId="0" fontId="8" fillId="20" borderId="152" xfId="15" applyFill="1" applyBorder="1" applyAlignment="1" applyProtection="1">
      <alignment horizontal="center" vertical="top" wrapText="1"/>
    </xf>
    <xf numFmtId="0" fontId="8" fillId="20" borderId="86" xfId="15" applyFill="1" applyBorder="1" applyAlignment="1" applyProtection="1">
      <alignment horizontal="center" vertical="top" wrapText="1"/>
    </xf>
    <xf numFmtId="0" fontId="8" fillId="20" borderId="153" xfId="15" applyFill="1" applyBorder="1" applyAlignment="1" applyProtection="1">
      <alignment horizontal="center" vertical="top" wrapText="1"/>
    </xf>
    <xf numFmtId="0" fontId="23" fillId="20" borderId="10" xfId="0" applyFont="1" applyFill="1" applyBorder="1" applyAlignment="1" applyProtection="1">
      <alignment horizontal="left"/>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6" fillId="32" borderId="10" xfId="0" applyFont="1" applyFill="1" applyBorder="1" applyAlignment="1" applyProtection="1">
      <alignment horizontal="left" vertical="top" wrapText="1"/>
      <protection locked="0"/>
    </xf>
    <xf numFmtId="0" fontId="10" fillId="14" borderId="0" xfId="0" applyFont="1" applyFill="1" applyBorder="1" applyAlignment="1" applyProtection="1">
      <alignment vertical="top" wrapText="1"/>
    </xf>
    <xf numFmtId="0" fontId="6" fillId="32" borderId="10" xfId="0" applyFont="1" applyFill="1" applyBorder="1" applyAlignment="1" applyProtection="1">
      <alignment horizontal="left" vertical="top" wrapText="1" shrinkToFit="1"/>
      <protection locked="0"/>
    </xf>
    <xf numFmtId="0" fontId="0" fillId="24" borderId="33" xfId="0" applyFill="1" applyBorder="1" applyAlignment="1" applyProtection="1">
      <alignment wrapText="1"/>
      <protection locked="0"/>
    </xf>
    <xf numFmtId="0" fontId="76" fillId="14" borderId="14" xfId="0" applyFont="1" applyFill="1" applyBorder="1" applyAlignment="1" applyProtection="1">
      <alignment wrapText="1"/>
      <protection locked="0"/>
    </xf>
    <xf numFmtId="0" fontId="76" fillId="14" borderId="34" xfId="0" applyFont="1" applyFill="1" applyBorder="1" applyAlignment="1" applyProtection="1">
      <alignment wrapText="1"/>
      <protection locked="0"/>
    </xf>
    <xf numFmtId="0" fontId="0" fillId="24" borderId="31" xfId="0" applyFill="1" applyBorder="1" applyAlignment="1" applyProtection="1">
      <alignment wrapText="1"/>
      <protection locked="0"/>
    </xf>
    <xf numFmtId="0" fontId="76" fillId="14" borderId="0" xfId="0" applyFont="1" applyFill="1" applyBorder="1" applyAlignment="1" applyProtection="1">
      <alignment wrapText="1"/>
      <protection locked="0"/>
    </xf>
    <xf numFmtId="0" fontId="76" fillId="14" borderId="32" xfId="0" applyFont="1" applyFill="1" applyBorder="1" applyAlignment="1" applyProtection="1">
      <alignment wrapText="1"/>
      <protection locked="0"/>
    </xf>
    <xf numFmtId="0" fontId="0" fillId="24" borderId="31" xfId="0" applyFill="1" applyBorder="1" applyAlignment="1" applyProtection="1">
      <alignment horizontal="left" vertical="top" wrapText="1"/>
      <protection locked="0"/>
    </xf>
    <xf numFmtId="0" fontId="76" fillId="14" borderId="0" xfId="0" applyFont="1" applyFill="1" applyBorder="1" applyAlignment="1" applyProtection="1">
      <alignment horizontal="left" vertical="top" wrapText="1"/>
      <protection locked="0"/>
    </xf>
    <xf numFmtId="0" fontId="76" fillId="14" borderId="32" xfId="0" applyFont="1" applyFill="1" applyBorder="1" applyAlignment="1" applyProtection="1">
      <alignment horizontal="left" vertical="top" wrapText="1"/>
      <protection locked="0"/>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4" fillId="14" borderId="0" xfId="0" applyFont="1" applyFill="1" applyBorder="1" applyAlignment="1" applyProtection="1">
      <alignment vertical="top" wrapText="1"/>
    </xf>
    <xf numFmtId="0" fontId="8" fillId="20" borderId="86" xfId="15" applyFill="1" applyBorder="1" applyAlignment="1" applyProtection="1">
      <alignment horizontal="center"/>
    </xf>
    <xf numFmtId="0" fontId="7" fillId="14" borderId="10" xfId="0" applyFont="1" applyFill="1" applyBorder="1" applyAlignment="1" applyProtection="1">
      <alignment horizontal="center" vertical="top" wrapText="1"/>
    </xf>
    <xf numFmtId="4" fontId="6" fillId="32" borderId="10" xfId="0" applyNumberFormat="1" applyFont="1" applyFill="1" applyBorder="1" applyAlignment="1" applyProtection="1">
      <alignment horizontal="center" vertical="top" wrapText="1"/>
      <protection locked="0"/>
    </xf>
    <xf numFmtId="0" fontId="112" fillId="24" borderId="31" xfId="0" applyFont="1" applyFill="1" applyBorder="1" applyAlignment="1" applyProtection="1">
      <alignment horizontal="left" vertical="top" wrapText="1"/>
      <protection locked="0"/>
    </xf>
    <xf numFmtId="0" fontId="2" fillId="14" borderId="0" xfId="0" applyFont="1" applyFill="1" applyBorder="1" applyAlignment="1" applyProtection="1">
      <alignment horizontal="left" vertical="top" wrapText="1"/>
      <protection locked="0"/>
    </xf>
    <xf numFmtId="0" fontId="2" fillId="14" borderId="32" xfId="0" applyFont="1" applyFill="1" applyBorder="1" applyAlignment="1" applyProtection="1">
      <alignment horizontal="left" vertical="top" wrapText="1"/>
      <protection locked="0"/>
    </xf>
    <xf numFmtId="0" fontId="0" fillId="24" borderId="28" xfId="0" applyFill="1" applyBorder="1" applyAlignment="1" applyProtection="1">
      <alignment horizontal="left" vertical="top" wrapText="1"/>
      <protection locked="0"/>
    </xf>
    <xf numFmtId="0" fontId="2" fillId="14" borderId="64" xfId="0" applyFont="1" applyFill="1" applyBorder="1" applyAlignment="1" applyProtection="1">
      <alignment horizontal="left" vertical="top" wrapText="1"/>
      <protection locked="0"/>
    </xf>
    <xf numFmtId="0" fontId="2" fillId="14" borderId="29"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8" fillId="20" borderId="86" xfId="15" quotePrefix="1" applyFill="1" applyBorder="1" applyAlignment="1" applyProtection="1">
      <alignment horizontal="center"/>
    </xf>
    <xf numFmtId="0" fontId="8" fillId="20" borderId="150" xfId="15" applyFill="1" applyBorder="1" applyAlignment="1" applyProtection="1">
      <alignment horizontal="center"/>
    </xf>
    <xf numFmtId="0" fontId="2" fillId="18" borderId="26" xfId="0" applyNumberFormat="1" applyFont="1" applyFill="1" applyBorder="1" applyAlignment="1" applyProtection="1">
      <alignment horizontal="left" vertical="top" wrapText="1"/>
    </xf>
    <xf numFmtId="0" fontId="2" fillId="18"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10" fillId="18" borderId="52" xfId="0" applyNumberFormat="1" applyFont="1" applyFill="1" applyBorder="1" applyAlignment="1" applyProtection="1">
      <alignment horizontal="center" vertical="center"/>
    </xf>
    <xf numFmtId="0" fontId="10" fillId="18" borderId="69" xfId="0" applyNumberFormat="1" applyFont="1" applyFill="1" applyBorder="1" applyAlignment="1" applyProtection="1">
      <alignment horizontal="center" vertical="center"/>
    </xf>
    <xf numFmtId="164" fontId="92" fillId="18" borderId="25" xfId="0" applyNumberFormat="1" applyFont="1" applyFill="1" applyBorder="1" applyAlignment="1" applyProtection="1">
      <alignment horizontal="right" vertical="center"/>
    </xf>
    <xf numFmtId="164" fontId="92" fillId="18" borderId="26" xfId="0" applyNumberFormat="1" applyFont="1" applyFill="1" applyBorder="1" applyAlignment="1" applyProtection="1">
      <alignment horizontal="right" vertical="center"/>
    </xf>
    <xf numFmtId="0" fontId="2" fillId="18" borderId="25" xfId="0" applyNumberFormat="1" applyFont="1" applyFill="1" applyBorder="1" applyAlignment="1" applyProtection="1">
      <alignment horizontal="left" vertical="top"/>
    </xf>
    <xf numFmtId="0" fontId="2" fillId="18" borderId="26" xfId="0" applyNumberFormat="1" applyFont="1" applyFill="1" applyBorder="1" applyAlignment="1" applyProtection="1">
      <alignment horizontal="left" vertical="top"/>
    </xf>
    <xf numFmtId="0" fontId="2" fillId="18" borderId="133" xfId="0" applyNumberFormat="1" applyFont="1" applyFill="1" applyBorder="1" applyAlignment="1" applyProtection="1">
      <alignment horizontal="left" vertical="top"/>
    </xf>
    <xf numFmtId="0" fontId="2" fillId="18" borderId="134" xfId="0" applyNumberFormat="1" applyFont="1" applyFill="1" applyBorder="1" applyAlignment="1" applyProtection="1">
      <alignment horizontal="left" vertical="top"/>
    </xf>
    <xf numFmtId="0" fontId="2" fillId="18" borderId="131" xfId="0" applyNumberFormat="1" applyFont="1" applyFill="1" applyBorder="1" applyAlignment="1" applyProtection="1">
      <alignment horizontal="left" vertical="top"/>
    </xf>
    <xf numFmtId="0" fontId="2" fillId="18"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164" fontId="10" fillId="18" borderId="18" xfId="0" applyNumberFormat="1" applyFont="1" applyFill="1" applyBorder="1" applyAlignment="1" applyProtection="1">
      <alignment horizontal="right" vertical="center"/>
    </xf>
    <xf numFmtId="164" fontId="10" fillId="18" borderId="19" xfId="0" applyNumberFormat="1" applyFont="1" applyFill="1" applyBorder="1" applyAlignment="1" applyProtection="1">
      <alignment horizontal="right" vertical="center"/>
    </xf>
    <xf numFmtId="0" fontId="29" fillId="37" borderId="25" xfId="0" applyFont="1" applyFill="1" applyBorder="1" applyAlignment="1" applyProtection="1">
      <alignment horizontal="left"/>
    </xf>
    <xf numFmtId="0" fontId="29" fillId="37" borderId="27" xfId="0" applyFont="1" applyFill="1" applyBorder="1" applyAlignment="1" applyProtection="1">
      <alignment horizontal="left"/>
    </xf>
    <xf numFmtId="0" fontId="29" fillId="37" borderId="26" xfId="0" applyFont="1" applyFill="1" applyBorder="1" applyAlignment="1" applyProtection="1">
      <alignment horizontal="left"/>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4">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Linked Cell" xfId="16"/>
    <cellStyle name="Neutral" xfId="17"/>
    <cellStyle name="Neutralus" xfId="23" builtinId="28" hidden="1"/>
    <cellStyle name="Note" xfId="18"/>
    <cellStyle name="Paprastas" xfId="0" builtinId="0"/>
    <cellStyle name="Standard 2" xfId="19"/>
    <cellStyle name="Standard_Outline NIMs template 10-09-30" xfId="20"/>
    <cellStyle name="Title"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xmlns="">
              <a:solidFill>
                <a:srgbClr xmlns:mc="http://schemas.openxmlformats.org/markup-compatibility/2006" val="500000" mc:Ignorable="a14" a14:legacySpreadsheetColorIndex="80"/>
              </a:solidFill>
            </a14:hiddenFill>
          </a:ext>
          <a:ext uri="{91240B29-F687-4F45-9708-019B960494DF}">
            <a14:hiddenLine xmlns:a14="http://schemas.microsoft.com/office/drawing/2010/main" xmlns=""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xmlns="">
              <a:solidFill>
                <a:srgbClr xmlns:mc="http://schemas.openxmlformats.org/markup-compatibility/2006" val="500000" mc:Ignorable="a14" a14:legacySpreadsheetColorIndex="80"/>
              </a:solidFill>
            </a14:hiddenFill>
          </a:ext>
          <a:ext uri="{91240B29-F687-4F45-9708-019B960494DF}">
            <a14:hiddenLine xmlns:a14="http://schemas.microsoft.com/office/drawing/2010/main" xmlns=""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Tabelle1" enableFormatConditionsCalculation="0">
    <tabColor indexed="9"/>
    <pageSetUpPr fitToPage="1"/>
  </sheetPr>
  <dimension ref="A1:J64"/>
  <sheetViews>
    <sheetView topLeftCell="A31" workbookViewId="0">
      <selection activeCell="H55" sqref="H55"/>
    </sheetView>
  </sheetViews>
  <sheetFormatPr defaultColWidth="11.42578125" defaultRowHeight="12.75"/>
  <cols>
    <col min="1" max="2" width="4.7109375" style="28" customWidth="1"/>
    <col min="3" max="9" width="12.7109375" style="28" customWidth="1"/>
    <col min="10" max="16384" width="11.42578125" style="28"/>
  </cols>
  <sheetData>
    <row r="1" spans="1:10" ht="35.25" customHeight="1">
      <c r="B1" s="157" t="str">
        <f>Translations!$B$490</f>
        <v>ŠILTNAMIO EFEKTĄ SUKELIANČIŲ DUJŲ STEBĖSENOS ATASKAITA</v>
      </c>
    </row>
    <row r="2" spans="1:10" ht="12.75" customHeight="1">
      <c r="B2" s="158"/>
      <c r="C2" s="488"/>
    </row>
    <row r="3" spans="1:10" ht="15.75">
      <c r="A3" s="143"/>
      <c r="B3" s="145" t="str">
        <f>Translations!$B$24</f>
        <v>Turinys</v>
      </c>
      <c r="C3" s="143"/>
      <c r="D3" s="143"/>
      <c r="E3" s="143"/>
      <c r="F3" s="143"/>
      <c r="G3" s="143"/>
      <c r="H3" s="143"/>
      <c r="I3" s="143"/>
      <c r="J3" s="143"/>
    </row>
    <row r="4" spans="1:10">
      <c r="A4" s="143"/>
      <c r="B4" s="143"/>
      <c r="C4" s="143"/>
      <c r="D4" s="143"/>
      <c r="E4" s="143"/>
      <c r="F4" s="143"/>
      <c r="G4" s="143"/>
      <c r="H4" s="143"/>
      <c r="I4" s="143"/>
      <c r="J4" s="143"/>
    </row>
    <row r="5" spans="1:10">
      <c r="A5" s="143"/>
      <c r="B5" s="143" t="str">
        <f>Translations!$B$2</f>
        <v>Lapų pavadinimai yra pusjuodžiu, o skirsnių pavadinimai – įprastu šriftu.</v>
      </c>
      <c r="C5" s="143"/>
      <c r="D5" s="143"/>
      <c r="E5" s="143"/>
      <c r="F5" s="143"/>
      <c r="G5" s="143"/>
      <c r="H5" s="143"/>
      <c r="I5" s="143"/>
      <c r="J5" s="143"/>
    </row>
    <row r="6" spans="1:10">
      <c r="A6" s="143"/>
      <c r="B6" s="1033"/>
      <c r="C6" s="1033"/>
      <c r="D6" s="1033"/>
      <c r="E6" s="1033"/>
      <c r="F6" s="1033"/>
      <c r="G6" s="1033"/>
      <c r="H6" s="1033"/>
      <c r="I6" s="1033"/>
      <c r="J6" s="143"/>
    </row>
    <row r="7" spans="1:10">
      <c r="A7" s="143"/>
      <c r="B7" s="1294" t="str">
        <f>Translations!$B$3</f>
        <v>a_Contents</v>
      </c>
      <c r="C7" s="1298"/>
      <c r="D7" s="1298"/>
      <c r="E7" s="1298"/>
      <c r="F7" s="1298"/>
      <c r="G7" s="1298"/>
      <c r="H7" s="1298"/>
      <c r="I7" s="1298"/>
      <c r="J7" s="143"/>
    </row>
    <row r="8" spans="1:10">
      <c r="A8" s="143"/>
      <c r="B8" s="1294" t="str">
        <f>Translations!$B$4</f>
        <v>b_Guidelines and conditions</v>
      </c>
      <c r="C8" s="1295"/>
      <c r="D8" s="1295"/>
      <c r="E8" s="1295"/>
      <c r="F8" s="1295"/>
      <c r="G8" s="1295"/>
      <c r="H8" s="1295"/>
      <c r="I8" s="1295"/>
      <c r="J8" s="143"/>
    </row>
    <row r="9" spans="1:10" ht="5.0999999999999996" customHeight="1">
      <c r="A9" s="143"/>
      <c r="B9" s="1294"/>
      <c r="C9" s="1295"/>
      <c r="D9" s="1295"/>
      <c r="E9" s="1295"/>
      <c r="F9" s="1295"/>
      <c r="G9" s="1295"/>
      <c r="H9" s="1295"/>
      <c r="I9" s="1295"/>
      <c r="J9" s="143"/>
    </row>
    <row r="10" spans="1:10">
      <c r="A10" s="143"/>
      <c r="B10" s="1294" t="str">
        <f>Translations!$B$491</f>
        <v>A. Veiklos vykdytojų ir įrenginių tapatybė</v>
      </c>
      <c r="C10" s="1295"/>
      <c r="D10" s="1295"/>
      <c r="E10" s="1295"/>
      <c r="F10" s="1295"/>
      <c r="G10" s="1295"/>
      <c r="H10" s="1295"/>
      <c r="I10" s="1295"/>
      <c r="J10" s="143"/>
    </row>
    <row r="11" spans="1:10" ht="12.75" customHeight="1">
      <c r="B11" s="1034"/>
      <c r="C11" s="1296" t="str">
        <f>Translations!$B$492</f>
        <v>Ataskaitiniai metai</v>
      </c>
      <c r="D11" s="1296"/>
      <c r="E11" s="1296"/>
      <c r="F11" s="1296"/>
      <c r="G11" s="1296"/>
      <c r="H11" s="1296"/>
      <c r="I11" s="1296"/>
      <c r="J11" s="143"/>
    </row>
    <row r="12" spans="1:10" ht="12.75" customHeight="1">
      <c r="B12" s="1034"/>
      <c r="C12" s="1296" t="str">
        <f>Translations!$B$493</f>
        <v>Informacija apie veiklos vykdytoją</v>
      </c>
      <c r="D12" s="1296"/>
      <c r="E12" s="1296"/>
      <c r="F12" s="1296"/>
      <c r="G12" s="1296"/>
      <c r="H12" s="1296"/>
      <c r="I12" s="1296"/>
      <c r="J12" s="143"/>
    </row>
    <row r="13" spans="1:10" ht="12.75" customHeight="1">
      <c r="B13" s="1034"/>
      <c r="C13" s="1296" t="str">
        <f>Translations!$B$494</f>
        <v>Informacija apie įrenginį</v>
      </c>
      <c r="D13" s="1296"/>
      <c r="E13" s="1296"/>
      <c r="F13" s="1296"/>
      <c r="G13" s="1296"/>
      <c r="H13" s="1296"/>
      <c r="I13" s="1296"/>
      <c r="J13" s="143"/>
    </row>
    <row r="14" spans="1:10" ht="12.75" customHeight="1">
      <c r="B14" s="1034"/>
      <c r="C14" s="1296" t="str">
        <f>Translations!$B$6</f>
        <v xml:space="preserve">Kontaktiniai duomenys </v>
      </c>
      <c r="D14" s="1296"/>
      <c r="E14" s="1296"/>
      <c r="F14" s="1296"/>
      <c r="G14" s="1296"/>
      <c r="H14" s="1296"/>
      <c r="I14" s="1296"/>
      <c r="J14" s="143"/>
    </row>
    <row r="15" spans="1:10" ht="12.75" customHeight="1">
      <c r="B15" s="1034"/>
      <c r="C15" s="1296" t="str">
        <f>Translations!$B$495</f>
        <v>Vertintojo kontaktiniai duomenys</v>
      </c>
      <c r="D15" s="1296"/>
      <c r="E15" s="1296"/>
      <c r="F15" s="1296"/>
      <c r="G15" s="1296"/>
      <c r="H15" s="1296"/>
      <c r="I15" s="1296"/>
      <c r="J15" s="143"/>
    </row>
    <row r="16" spans="1:10" ht="5.0999999999999996" customHeight="1">
      <c r="B16" s="1034"/>
      <c r="C16" s="1296"/>
      <c r="D16" s="1296"/>
      <c r="E16" s="1296"/>
      <c r="F16" s="1296"/>
      <c r="G16" s="1296"/>
      <c r="H16" s="1296"/>
      <c r="I16" s="1296"/>
      <c r="J16" s="143"/>
    </row>
    <row r="17" spans="1:10">
      <c r="A17" s="143"/>
      <c r="B17" s="1294" t="str">
        <f>Translations!$B$496</f>
        <v>B. Įrenginio aprašas</v>
      </c>
      <c r="C17" s="1295"/>
      <c r="D17" s="1295"/>
      <c r="E17" s="1295"/>
      <c r="F17" s="1295"/>
      <c r="G17" s="1295"/>
      <c r="H17" s="1295"/>
      <c r="I17" s="1295"/>
      <c r="J17" s="143"/>
    </row>
    <row r="18" spans="1:10">
      <c r="B18" s="1034"/>
      <c r="C18" s="1296" t="str">
        <f>Translations!$B$497</f>
        <v>I priede nurodyta veikla</v>
      </c>
      <c r="D18" s="1296"/>
      <c r="E18" s="1296"/>
      <c r="F18" s="1296"/>
      <c r="G18" s="1296"/>
      <c r="H18" s="1296"/>
      <c r="I18" s="1296"/>
      <c r="J18" s="143"/>
    </row>
    <row r="19" spans="1:10">
      <c r="B19" s="1035"/>
      <c r="C19" s="1296" t="str">
        <f>Translations!$B$96</f>
        <v>Stebėsenos metodai</v>
      </c>
      <c r="D19" s="1296"/>
      <c r="E19" s="1296"/>
      <c r="F19" s="1296"/>
      <c r="G19" s="1296"/>
      <c r="H19" s="1296"/>
      <c r="I19" s="1296"/>
      <c r="J19" s="143"/>
    </row>
    <row r="20" spans="1:10">
      <c r="B20" s="1034"/>
      <c r="C20" s="1296" t="str">
        <f>Translations!$B$98</f>
        <v>Sukėlikliai</v>
      </c>
      <c r="D20" s="1296"/>
      <c r="E20" s="1296"/>
      <c r="F20" s="1296"/>
      <c r="G20" s="1296"/>
      <c r="H20" s="1296"/>
      <c r="I20" s="1296"/>
      <c r="J20" s="143"/>
    </row>
    <row r="21" spans="1:10">
      <c r="B21" s="1034"/>
      <c r="C21" s="1296" t="str">
        <f>Translations!$B$97</f>
        <v>Matavimo taškai</v>
      </c>
      <c r="D21" s="1296"/>
      <c r="E21" s="1296"/>
      <c r="F21" s="1296"/>
      <c r="G21" s="1296"/>
      <c r="H21" s="1296"/>
      <c r="I21" s="1296"/>
      <c r="J21" s="143"/>
    </row>
    <row r="22" spans="1:10" ht="5.0999999999999996" customHeight="1">
      <c r="B22" s="1112"/>
      <c r="C22" s="1297"/>
      <c r="D22" s="1297"/>
      <c r="E22" s="1297"/>
      <c r="F22" s="1297"/>
      <c r="G22" s="1297"/>
      <c r="H22" s="1297"/>
      <c r="I22" s="1297"/>
      <c r="J22" s="143"/>
    </row>
    <row r="23" spans="1:10">
      <c r="A23" s="143"/>
      <c r="B23" s="1294" t="str">
        <f>Translations!$B$498</f>
        <v>C. Sukėlikliai</v>
      </c>
      <c r="C23" s="1295"/>
      <c r="D23" s="1295"/>
      <c r="E23" s="1295"/>
      <c r="F23" s="1295"/>
      <c r="G23" s="1295"/>
      <c r="H23" s="1295"/>
      <c r="I23" s="1295"/>
      <c r="J23" s="143"/>
    </row>
    <row r="24" spans="1:10" ht="5.0999999999999996" customHeight="1">
      <c r="B24" s="1112"/>
      <c r="C24" s="1297"/>
      <c r="D24" s="1297"/>
      <c r="E24" s="1297"/>
      <c r="F24" s="1297"/>
      <c r="G24" s="1297"/>
      <c r="H24" s="1297"/>
      <c r="I24" s="1297"/>
      <c r="J24" s="143"/>
    </row>
    <row r="25" spans="1:10">
      <c r="A25" s="143"/>
      <c r="B25" s="1294" t="str">
        <f>Translations!$B$499</f>
        <v>D. Matavimu grindžiami metodai</v>
      </c>
      <c r="C25" s="1295"/>
      <c r="D25" s="1295"/>
      <c r="E25" s="1295"/>
      <c r="F25" s="1295"/>
      <c r="G25" s="1295"/>
      <c r="H25" s="1295"/>
      <c r="I25" s="1295"/>
      <c r="J25" s="143"/>
    </row>
    <row r="26" spans="1:10" ht="5.0999999999999996" customHeight="1">
      <c r="B26" s="1112"/>
      <c r="C26" s="1297"/>
      <c r="D26" s="1297"/>
      <c r="E26" s="1297"/>
      <c r="F26" s="1297"/>
      <c r="G26" s="1297"/>
      <c r="H26" s="1297"/>
      <c r="I26" s="1297"/>
      <c r="J26" s="143"/>
    </row>
    <row r="27" spans="1:10">
      <c r="A27" s="143"/>
      <c r="B27" s="1294" t="str">
        <f>Translations!$B$500</f>
        <v>E. Alternatyvus metodas</v>
      </c>
      <c r="C27" s="1295"/>
      <c r="D27" s="1295"/>
      <c r="E27" s="1295"/>
      <c r="F27" s="1295"/>
      <c r="G27" s="1295"/>
      <c r="H27" s="1295"/>
      <c r="I27" s="1295"/>
      <c r="J27" s="143"/>
    </row>
    <row r="28" spans="1:10" ht="5.0999999999999996" customHeight="1">
      <c r="B28" s="1112"/>
      <c r="C28" s="1297"/>
      <c r="D28" s="1297"/>
      <c r="E28" s="1297"/>
      <c r="F28" s="1297"/>
      <c r="G28" s="1297"/>
      <c r="H28" s="1297"/>
      <c r="I28" s="1297"/>
      <c r="J28" s="143"/>
    </row>
    <row r="29" spans="1:10">
      <c r="A29" s="143"/>
      <c r="B29" s="1294" t="str">
        <f>Translations!$B$501</f>
        <v>F. Gaminant pirminį aliuminį išmetamo PFC kiekio nustatymas</v>
      </c>
      <c r="C29" s="1295"/>
      <c r="D29" s="1295"/>
      <c r="E29" s="1295"/>
      <c r="F29" s="1295"/>
      <c r="G29" s="1295"/>
      <c r="H29" s="1295"/>
      <c r="I29" s="1295"/>
      <c r="J29" s="143"/>
    </row>
    <row r="30" spans="1:10" ht="5.0999999999999996" customHeight="1">
      <c r="B30" s="1112"/>
      <c r="C30" s="1297"/>
      <c r="D30" s="1297"/>
      <c r="E30" s="1297"/>
      <c r="F30" s="1297"/>
      <c r="G30" s="1297"/>
      <c r="H30" s="1297"/>
      <c r="I30" s="1297"/>
      <c r="J30" s="143"/>
    </row>
    <row r="31" spans="1:10">
      <c r="A31" s="143"/>
      <c r="B31" s="1294" t="str">
        <f>Translations!$B$502</f>
        <v>G. Duomenų spragos</v>
      </c>
      <c r="C31" s="1295"/>
      <c r="D31" s="1295"/>
      <c r="E31" s="1295"/>
      <c r="F31" s="1295"/>
      <c r="G31" s="1295"/>
      <c r="H31" s="1295"/>
      <c r="I31" s="1295"/>
      <c r="J31" s="143"/>
    </row>
    <row r="32" spans="1:10" ht="5.0999999999999996" customHeight="1">
      <c r="A32" s="144"/>
      <c r="B32" s="1031"/>
      <c r="C32" s="1031"/>
      <c r="D32" s="1032"/>
      <c r="E32" s="1032"/>
      <c r="F32" s="1032"/>
      <c r="G32" s="1032"/>
      <c r="H32" s="1032"/>
      <c r="I32" s="1032"/>
      <c r="J32" s="144"/>
    </row>
    <row r="33" spans="1:10">
      <c r="A33" s="143"/>
      <c r="B33" s="1294" t="str">
        <f>Translations!$B$503</f>
        <v>H. Papildoma informacija</v>
      </c>
      <c r="C33" s="1295"/>
      <c r="D33" s="1295"/>
      <c r="E33" s="1295"/>
      <c r="F33" s="1295"/>
      <c r="G33" s="1295"/>
      <c r="H33" s="1295"/>
      <c r="I33" s="1295"/>
      <c r="J33" s="143"/>
    </row>
    <row r="34" spans="1:10">
      <c r="A34" s="143"/>
      <c r="B34" s="1181"/>
      <c r="C34" s="1296" t="str">
        <f>Translations!$B$504</f>
        <v>Išsami informacija apie gamybą</v>
      </c>
      <c r="D34" s="1296"/>
      <c r="E34" s="1296"/>
      <c r="F34" s="1296"/>
      <c r="G34" s="1296"/>
      <c r="H34" s="1296"/>
      <c r="I34" s="1296"/>
      <c r="J34" s="143"/>
    </row>
    <row r="35" spans="1:10">
      <c r="B35" s="1034"/>
      <c r="C35" s="1296" t="str">
        <f>Translations!$B$505</f>
        <v>Apibrėžtys ir santrumpos</v>
      </c>
      <c r="D35" s="1296"/>
      <c r="E35" s="1296"/>
      <c r="F35" s="1296"/>
      <c r="G35" s="1296"/>
      <c r="H35" s="1296"/>
      <c r="I35" s="1296"/>
      <c r="J35" s="143"/>
    </row>
    <row r="36" spans="1:10">
      <c r="B36" s="1034"/>
      <c r="C36" s="1296" t="str">
        <f>Translations!$B$10</f>
        <v>Papildoma informacija</v>
      </c>
      <c r="D36" s="1296"/>
      <c r="E36" s="1296"/>
      <c r="F36" s="1296"/>
      <c r="G36" s="1296"/>
      <c r="H36" s="1296"/>
      <c r="I36" s="1296"/>
      <c r="J36" s="143"/>
    </row>
    <row r="37" spans="1:10">
      <c r="B37" s="1034"/>
      <c r="C37" s="1296" t="str">
        <f>Translations!$B$11</f>
        <v>Pastabos</v>
      </c>
      <c r="D37" s="1296"/>
      <c r="E37" s="1296"/>
      <c r="F37" s="1296"/>
      <c r="G37" s="1296"/>
      <c r="H37" s="1296"/>
      <c r="I37" s="1296"/>
      <c r="J37" s="143"/>
    </row>
    <row r="38" spans="1:10" ht="5.0999999999999996" customHeight="1">
      <c r="A38" s="144"/>
      <c r="B38" s="1031"/>
      <c r="C38" s="1031"/>
      <c r="D38" s="1032"/>
      <c r="E38" s="1032"/>
      <c r="F38" s="1032"/>
      <c r="G38" s="1032"/>
      <c r="H38" s="1032"/>
      <c r="I38" s="1032"/>
      <c r="J38" s="144"/>
    </row>
    <row r="39" spans="1:10">
      <c r="A39" s="143"/>
      <c r="B39" s="1294" t="str">
        <f>Translations!$B$506</f>
        <v>I. Santrauka</v>
      </c>
      <c r="C39" s="1295"/>
      <c r="D39" s="1295"/>
      <c r="E39" s="1295"/>
      <c r="F39" s="1295"/>
      <c r="G39" s="1295"/>
      <c r="H39" s="1295"/>
      <c r="I39" s="1295"/>
      <c r="J39" s="143"/>
    </row>
    <row r="40" spans="1:10" ht="5.0999999999999996" customHeight="1">
      <c r="A40" s="144"/>
      <c r="B40" s="1031"/>
      <c r="C40" s="1031"/>
      <c r="D40" s="1032"/>
      <c r="E40" s="1032"/>
      <c r="F40" s="1032"/>
      <c r="G40" s="1032"/>
      <c r="H40" s="1032"/>
      <c r="I40" s="1032"/>
      <c r="J40" s="144"/>
    </row>
    <row r="41" spans="1:10">
      <c r="A41" s="143"/>
      <c r="B41" s="1294" t="str">
        <f>Translations!$B$507</f>
        <v>J. Apskaita</v>
      </c>
      <c r="C41" s="1295"/>
      <c r="D41" s="1295"/>
      <c r="E41" s="1295"/>
      <c r="F41" s="1295"/>
      <c r="G41" s="1295"/>
      <c r="H41" s="1295"/>
      <c r="I41" s="1295"/>
      <c r="J41" s="143"/>
    </row>
    <row r="42" spans="1:10">
      <c r="A42" s="144"/>
      <c r="B42" s="1031"/>
      <c r="C42" s="1031"/>
      <c r="D42" s="1032"/>
      <c r="E42" s="1032"/>
      <c r="F42" s="1032"/>
      <c r="G42" s="1032"/>
      <c r="H42" s="1032"/>
      <c r="I42" s="1032"/>
      <c r="J42" s="144"/>
    </row>
    <row r="43" spans="1:10" ht="13.5" thickBot="1">
      <c r="B43" s="70" t="str">
        <f>Translations!$B$12</f>
        <v>Informacija apie šį failą</v>
      </c>
      <c r="J43" s="851"/>
    </row>
    <row r="44" spans="1:10" ht="12.75" customHeight="1">
      <c r="B44" s="28" t="str">
        <f>Translations!$B$508</f>
        <v>Šią metinę išmetamųjų ŠESD kiekio ataskaitą pateikė:</v>
      </c>
      <c r="F44" s="182" t="str">
        <f>IF(ISBLANK('A_Operator&amp;Inst.ID'!$I$26),"",'A_Operator&amp;Inst.ID'!$I$26)</f>
        <v>VĮ ,,Visagino energija"</v>
      </c>
      <c r="G44" s="183"/>
      <c r="H44" s="183"/>
      <c r="I44" s="184"/>
      <c r="J44" s="851"/>
    </row>
    <row r="45" spans="1:10" ht="12.75" customHeight="1">
      <c r="B45" s="29" t="str">
        <f>Translations!$B$13</f>
        <v>Įrenginio pavadinimas</v>
      </c>
      <c r="F45" s="185" t="str">
        <f>IF(ISBLANK('A_Operator&amp;Inst.ID'!$I$43),"",'A_Operator&amp;Inst.ID'!$I$43)</f>
        <v>Šiluminė katilinė</v>
      </c>
      <c r="G45" s="186"/>
      <c r="H45" s="186"/>
      <c r="I45" s="187"/>
      <c r="J45" s="851"/>
    </row>
    <row r="46" spans="1:10" ht="13.5" thickBot="1">
      <c r="B46" s="29" t="str">
        <f>Translations!$B$14</f>
        <v>Unikalus įrenginio kodas</v>
      </c>
      <c r="F46" s="959" t="str">
        <f>IF(ISBLANK('A_Operator&amp;Inst.ID'!$I$45),"",'A_Operator&amp;Inst.ID'!$I$45)</f>
        <v>LT000000000000115</v>
      </c>
      <c r="G46" s="960"/>
      <c r="H46" s="960"/>
      <c r="I46" s="961"/>
    </row>
    <row r="48" spans="1:10">
      <c r="B48" s="1298" t="str">
        <f>Translations!$B$509</f>
        <v>Jeigu Jūsų kompetentinga institucija reikalauja, kad Jūs pateiktumėte pasirašytą popierinę metinės išmetamųjų ŠESD kiekio ataskaitos kopiją, ją pasirašykite žemiau paliktoje vietoje:</v>
      </c>
      <c r="C48" s="1302"/>
      <c r="D48" s="1302"/>
      <c r="E48" s="1302"/>
      <c r="F48" s="1302"/>
      <c r="G48" s="1302"/>
      <c r="H48" s="1302"/>
      <c r="I48" s="1302"/>
    </row>
    <row r="49" spans="2:9">
      <c r="B49" s="1302"/>
      <c r="C49" s="1302"/>
      <c r="D49" s="1302"/>
      <c r="E49" s="1302"/>
      <c r="F49" s="1302"/>
      <c r="G49" s="1302"/>
      <c r="H49" s="1302"/>
      <c r="I49" s="1302"/>
    </row>
    <row r="55" spans="2:9" ht="13.5" thickBot="1">
      <c r="B55" s="1310"/>
      <c r="C55" s="1311"/>
      <c r="D55" s="1311"/>
      <c r="F55" s="165"/>
      <c r="G55" s="165"/>
      <c r="H55" s="165"/>
      <c r="I55" s="165"/>
    </row>
    <row r="56" spans="2:9" ht="25.5" customHeight="1">
      <c r="B56" s="1303" t="str">
        <f>Translations!$B$15</f>
        <v>Data</v>
      </c>
      <c r="C56" s="1303"/>
      <c r="D56" s="1303"/>
      <c r="F56" s="1292" t="str">
        <f>Translations!$B$16</f>
        <v>Teisiškai atsakingo asmens asmenvardis ir parašas</v>
      </c>
      <c r="G56" s="1293"/>
      <c r="H56" s="1293"/>
      <c r="I56" s="1293"/>
    </row>
    <row r="57" spans="2:9">
      <c r="D57" s="166"/>
      <c r="E57" s="166"/>
      <c r="F57" s="166"/>
      <c r="G57" s="166"/>
    </row>
    <row r="60" spans="2:9" ht="13.5" thickBot="1">
      <c r="B60" s="70" t="str">
        <f>Translations!$B$17</f>
        <v>Informacija apie šablono versiją</v>
      </c>
    </row>
    <row r="61" spans="2:9">
      <c r="B61" s="1304" t="str">
        <f>Translations!$B$18</f>
        <v>Šabloną pateikė</v>
      </c>
      <c r="C61" s="1305"/>
      <c r="D61" s="1305"/>
      <c r="E61" s="1306"/>
      <c r="F61" s="167" t="str">
        <f>VersionDocumentation!B4</f>
        <v>Lithuania</v>
      </c>
      <c r="G61" s="159"/>
      <c r="H61" s="159"/>
      <c r="I61" s="160"/>
    </row>
    <row r="62" spans="2:9">
      <c r="B62" s="1307" t="str">
        <f>Translations!$B$19</f>
        <v>Paskelbimo data</v>
      </c>
      <c r="C62" s="1308"/>
      <c r="D62" s="1308"/>
      <c r="E62" s="1309"/>
      <c r="F62" s="852">
        <f>VersionDocumentation!B3</f>
        <v>42356</v>
      </c>
      <c r="G62" s="161"/>
      <c r="H62" s="161"/>
      <c r="I62" s="162"/>
    </row>
    <row r="63" spans="2:9">
      <c r="B63" s="1307" t="str">
        <f>Translations!$B$20</f>
        <v>Kalba</v>
      </c>
      <c r="C63" s="1308"/>
      <c r="D63" s="1308"/>
      <c r="E63" s="1309"/>
      <c r="F63" s="168" t="str">
        <f>VersionDocumentation!B5</f>
        <v>Lithuanian</v>
      </c>
      <c r="G63" s="161"/>
      <c r="H63" s="161"/>
      <c r="I63" s="162"/>
    </row>
    <row r="64" spans="2:9" ht="13.5" thickBot="1">
      <c r="B64" s="1299" t="str">
        <f>Translations!$B$21</f>
        <v>Failo pavadinimas</v>
      </c>
      <c r="C64" s="1300"/>
      <c r="D64" s="1300"/>
      <c r="E64" s="1301"/>
      <c r="F64" s="169" t="str">
        <f>VersionDocumentation!C3</f>
        <v>P3 Inst AER_LT_lt_181215.xls</v>
      </c>
      <c r="G64" s="163"/>
      <c r="H64" s="163"/>
      <c r="I64" s="164"/>
    </row>
  </sheetData>
  <sheetProtection sheet="1" objects="1" scenarios="1"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sheetPr codeName="Tabelle14" enableFormatConditionsCalculation="0">
    <tabColor indexed="9"/>
    <pageSetUpPr fitToPage="1"/>
  </sheetPr>
  <dimension ref="A1:S92"/>
  <sheetViews>
    <sheetView topLeftCell="B1" zoomScaleNormal="100" workbookViewId="0">
      <pane ySplit="4" topLeftCell="A5" activePane="bottomLeft" state="frozen"/>
      <selection pane="bottomLeft" activeCell="B79" sqref="B79:M79"/>
    </sheetView>
  </sheetViews>
  <sheetFormatPr defaultColWidth="11.42578125" defaultRowHeight="12.75"/>
  <cols>
    <col min="1" max="1" width="3.140625" style="59" hidden="1" customWidth="1"/>
    <col min="2" max="2" width="4.140625" style="59" customWidth="1"/>
    <col min="3" max="13" width="12.7109375" style="59" customWidth="1"/>
    <col min="14" max="14" width="7.7109375" style="206" customWidth="1"/>
    <col min="15" max="15" width="11.42578125" style="59" hidden="1" customWidth="1"/>
    <col min="16" max="18" width="11.42578125" style="1096" hidden="1" customWidth="1"/>
    <col min="19" max="16384" width="11.42578125" style="59"/>
  </cols>
  <sheetData>
    <row r="1" spans="1:19" ht="13.5" hidden="1" thickBot="1">
      <c r="A1" s="55" t="s">
        <v>87</v>
      </c>
      <c r="B1" s="803"/>
      <c r="C1" s="804"/>
      <c r="D1" s="805"/>
      <c r="E1" s="804"/>
      <c r="F1" s="803"/>
      <c r="G1" s="803"/>
      <c r="H1" s="803"/>
      <c r="I1" s="803"/>
      <c r="J1" s="803"/>
      <c r="K1" s="803"/>
      <c r="L1" s="803"/>
      <c r="M1" s="803"/>
      <c r="N1" s="803"/>
      <c r="O1" s="55" t="s">
        <v>87</v>
      </c>
      <c r="P1" s="1176" t="s">
        <v>87</v>
      </c>
      <c r="Q1" s="1176" t="s">
        <v>87</v>
      </c>
      <c r="R1" s="1176" t="s">
        <v>87</v>
      </c>
    </row>
    <row r="2" spans="1:19" ht="13.5" customHeight="1" thickBot="1">
      <c r="A2" s="1404" t="s">
        <v>570</v>
      </c>
      <c r="B2" s="1574"/>
      <c r="C2" s="1575"/>
      <c r="D2" s="1386" t="str">
        <f>Translations!$B$23</f>
        <v>Naršymo laukas</v>
      </c>
      <c r="E2" s="1364"/>
      <c r="F2" s="1366" t="str">
        <f>Translations!$B$24</f>
        <v>Turinys</v>
      </c>
      <c r="G2" s="1367"/>
      <c r="H2" s="1366" t="str">
        <f>Translations!$B$25</f>
        <v>Ankstesnis lapas</v>
      </c>
      <c r="I2" s="1367"/>
      <c r="J2" s="1366" t="str">
        <f>Translations!$B$26</f>
        <v>Kitas lapas</v>
      </c>
      <c r="K2" s="1367"/>
      <c r="L2" s="1366"/>
      <c r="M2" s="1367"/>
      <c r="N2" s="1020"/>
    </row>
    <row r="3" spans="1:19" ht="12.75" customHeight="1">
      <c r="A3" s="1576"/>
      <c r="B3" s="1577"/>
      <c r="C3" s="1578"/>
      <c r="D3" s="1359" t="str">
        <f>Translations!$B$27</f>
        <v>Lapo viršus</v>
      </c>
      <c r="E3" s="1359"/>
      <c r="F3" s="1684" t="str">
        <f>Translations!$B$767</f>
        <v>Išsami informacija apie gamybą</v>
      </c>
      <c r="G3" s="1673"/>
      <c r="H3" s="1673" t="str">
        <f>Translations!$B$505</f>
        <v>Apibrėžtys ir santrumpos</v>
      </c>
      <c r="I3" s="1673"/>
      <c r="J3" s="1683" t="str">
        <f>Translations!$B$768</f>
        <v>Papildoma informacija</v>
      </c>
      <c r="K3" s="1683"/>
      <c r="L3" s="1646" t="str">
        <f>Translations!$B$11</f>
        <v>Pastabos</v>
      </c>
      <c r="M3" s="1647"/>
      <c r="N3" s="734"/>
    </row>
    <row r="4" spans="1:19" ht="13.5" customHeight="1" thickBot="1">
      <c r="A4" s="1579"/>
      <c r="B4" s="1580"/>
      <c r="C4" s="1581"/>
      <c r="D4" s="1359"/>
      <c r="E4" s="1359"/>
      <c r="F4" s="1643"/>
      <c r="G4" s="1644"/>
      <c r="H4" s="1644"/>
      <c r="I4" s="1644"/>
      <c r="J4" s="1644"/>
      <c r="K4" s="1644"/>
      <c r="L4" s="1359"/>
      <c r="M4" s="1359"/>
      <c r="N4" s="734"/>
    </row>
    <row r="5" spans="1:19">
      <c r="A5" s="1021"/>
      <c r="B5" s="201"/>
      <c r="C5" s="267"/>
      <c r="D5" s="267"/>
      <c r="E5" s="274"/>
      <c r="F5" s="274"/>
      <c r="G5" s="267"/>
      <c r="H5" s="267"/>
      <c r="I5" s="267"/>
      <c r="J5" s="267"/>
      <c r="K5" s="267"/>
      <c r="L5" s="267"/>
      <c r="M5" s="267"/>
      <c r="N5" s="734"/>
    </row>
    <row r="6" spans="1:19" ht="18" customHeight="1">
      <c r="A6" s="1021"/>
      <c r="B6" s="1659" t="str">
        <f>Translations!$B$769</f>
        <v>H. Further Information on this report (Papildoma informacija apie šią ataskaitą)</v>
      </c>
      <c r="C6" s="1659"/>
      <c r="D6" s="1659"/>
      <c r="E6" s="1659"/>
      <c r="F6" s="1659"/>
      <c r="G6" s="1659"/>
      <c r="H6" s="1659"/>
      <c r="I6" s="1659"/>
      <c r="J6" s="1659"/>
      <c r="K6" s="267"/>
      <c r="L6" s="267"/>
      <c r="M6" s="267"/>
      <c r="N6" s="734"/>
    </row>
    <row r="7" spans="1:19" ht="12.75" customHeight="1">
      <c r="A7" s="1021"/>
      <c r="B7" s="267"/>
      <c r="C7" s="267"/>
      <c r="D7" s="267"/>
      <c r="E7" s="267"/>
      <c r="F7" s="267"/>
      <c r="G7" s="267"/>
      <c r="H7" s="267"/>
      <c r="I7" s="267"/>
      <c r="J7" s="267"/>
      <c r="K7" s="267"/>
      <c r="L7" s="267"/>
      <c r="M7" s="267"/>
      <c r="N7" s="734"/>
    </row>
    <row r="8" spans="1:19" s="28" customFormat="1" ht="18.75" customHeight="1">
      <c r="A8" s="842"/>
      <c r="B8" s="35">
        <v>14</v>
      </c>
      <c r="C8" s="1512" t="str">
        <f>Translations!$B$767</f>
        <v>Išsami informacija apie gamybą</v>
      </c>
      <c r="D8" s="1512"/>
      <c r="E8" s="1512"/>
      <c r="F8" s="1512"/>
      <c r="G8" s="1512"/>
      <c r="H8" s="1512"/>
      <c r="I8" s="1512"/>
      <c r="J8" s="1512"/>
      <c r="K8" s="1512"/>
      <c r="L8" s="1512"/>
      <c r="M8" s="1512"/>
      <c r="N8" s="744"/>
      <c r="P8" s="1100"/>
      <c r="Q8" s="1100"/>
      <c r="R8" s="1100"/>
    </row>
    <row r="9" spans="1:19" ht="5.0999999999999996" customHeight="1">
      <c r="A9" s="836"/>
      <c r="B9" s="269"/>
      <c r="C9" s="1022"/>
      <c r="D9" s="1022"/>
      <c r="E9" s="1022"/>
      <c r="F9" s="1022"/>
      <c r="G9" s="1022"/>
      <c r="H9" s="1022"/>
      <c r="I9" s="1022"/>
      <c r="J9" s="1022"/>
      <c r="K9" s="267"/>
      <c r="L9" s="267"/>
      <c r="M9" s="267"/>
      <c r="N9" s="734"/>
    </row>
    <row r="10" spans="1:19" ht="12.75" customHeight="1">
      <c r="A10" s="727"/>
      <c r="B10" s="731"/>
      <c r="C10" s="1495" t="str">
        <f>Translations!$B$770</f>
        <v>Čia pateikite informaciją apie produktus, įskaitant (centrinį) šildymą arba elektros energijos gamybą, kurie gaminami įrenginyje.</v>
      </c>
      <c r="D10" s="1496"/>
      <c r="E10" s="1496"/>
      <c r="F10" s="1496"/>
      <c r="G10" s="1496"/>
      <c r="H10" s="1496"/>
      <c r="I10" s="1496"/>
      <c r="J10" s="1496"/>
      <c r="K10" s="1496"/>
      <c r="L10" s="1496"/>
      <c r="N10" s="749"/>
    </row>
    <row r="11" spans="1:19" s="202" customFormat="1" ht="25.5" customHeight="1">
      <c r="A11" s="727"/>
      <c r="C11" s="1526" t="str">
        <f>Translations!$B$771</f>
        <v>Pateikite su konkrečia valstybe nare susijusias rekomendacijas, ypač apie šios informacijos būklę, kiek tai susiję su įvertinimu.</v>
      </c>
      <c r="D11" s="1526"/>
      <c r="E11" s="1526"/>
      <c r="F11" s="1526"/>
      <c r="G11" s="1526"/>
      <c r="H11" s="1526"/>
      <c r="I11" s="1526"/>
      <c r="J11" s="1526"/>
      <c r="K11" s="1526"/>
      <c r="L11" s="1526"/>
      <c r="N11" s="736"/>
      <c r="O11" s="59"/>
      <c r="P11" s="1096"/>
      <c r="Q11" s="1096"/>
      <c r="R11" s="1096"/>
      <c r="S11" s="59"/>
    </row>
    <row r="12" spans="1:19" ht="12.75" customHeight="1">
      <c r="A12" s="1021"/>
      <c r="B12" s="267"/>
      <c r="C12" s="267"/>
      <c r="D12" s="267"/>
      <c r="E12" s="267"/>
      <c r="F12" s="267"/>
      <c r="G12" s="267"/>
      <c r="H12" s="267"/>
      <c r="I12" s="267"/>
      <c r="J12" s="267"/>
      <c r="K12" s="267"/>
      <c r="L12" s="267"/>
      <c r="M12" s="267"/>
      <c r="N12" s="734"/>
    </row>
    <row r="13" spans="1:19" ht="12.75" customHeight="1">
      <c r="A13" s="1021"/>
      <c r="B13" s="267"/>
      <c r="C13" s="1527" t="str">
        <f>Translations!$B$772</f>
        <v>Produkto identifikatorius (pavadinimas)</v>
      </c>
      <c r="D13" s="1527"/>
      <c r="E13" s="1527"/>
      <c r="F13" s="1527"/>
      <c r="G13" s="1527" t="str">
        <f>Translations!$B$773</f>
        <v>PRODCOM kodas</v>
      </c>
      <c r="H13" s="1527"/>
      <c r="I13" s="1527"/>
      <c r="J13" s="211" t="str">
        <f>Translations!$B$158</f>
        <v>Vienetas</v>
      </c>
      <c r="K13" s="1674" t="str">
        <f>Translations!$B$774</f>
        <v>Veiklos lygis</v>
      </c>
      <c r="L13" s="1674"/>
      <c r="M13" s="267"/>
      <c r="N13" s="734"/>
      <c r="R13" s="1176" t="s">
        <v>608</v>
      </c>
    </row>
    <row r="14" spans="1:19" ht="12.75" customHeight="1">
      <c r="A14" s="1021"/>
      <c r="B14" s="1174">
        <v>1</v>
      </c>
      <c r="C14" s="1660" t="s">
        <v>1830</v>
      </c>
      <c r="D14" s="1660"/>
      <c r="E14" s="1660"/>
      <c r="F14" s="1660"/>
      <c r="G14" s="1658" t="s">
        <v>1831</v>
      </c>
      <c r="H14" s="1658"/>
      <c r="I14" s="1658"/>
      <c r="J14" s="1175" t="s">
        <v>1832</v>
      </c>
      <c r="K14" s="1675"/>
      <c r="L14" s="1675"/>
      <c r="M14" s="267"/>
      <c r="N14" s="734"/>
      <c r="R14" s="1177" t="b">
        <f>MSPara_ProductionMandatory</f>
        <v>0</v>
      </c>
    </row>
    <row r="15" spans="1:19" ht="12.75" customHeight="1">
      <c r="A15" s="1021"/>
      <c r="B15" s="1174">
        <v>2</v>
      </c>
      <c r="C15" s="1660"/>
      <c r="D15" s="1660"/>
      <c r="E15" s="1660"/>
      <c r="F15" s="1660"/>
      <c r="G15" s="1658"/>
      <c r="H15" s="1658"/>
      <c r="I15" s="1658"/>
      <c r="J15" s="1175"/>
      <c r="K15" s="1675"/>
      <c r="L15" s="1675"/>
      <c r="M15" s="267"/>
      <c r="N15" s="734"/>
      <c r="R15" s="1177" t="b">
        <f>R14</f>
        <v>0</v>
      </c>
    </row>
    <row r="16" spans="1:19" ht="12.75" customHeight="1">
      <c r="A16" s="1021"/>
      <c r="B16" s="1174">
        <v>3</v>
      </c>
      <c r="C16" s="1660"/>
      <c r="D16" s="1660"/>
      <c r="E16" s="1660"/>
      <c r="F16" s="1660"/>
      <c r="G16" s="1658"/>
      <c r="H16" s="1658"/>
      <c r="I16" s="1658"/>
      <c r="J16" s="1175"/>
      <c r="K16" s="1675"/>
      <c r="L16" s="1675"/>
      <c r="M16" s="267"/>
      <c r="N16" s="734"/>
      <c r="R16" s="1177" t="b">
        <f t="shared" ref="R16:R23" si="0">R15</f>
        <v>0</v>
      </c>
    </row>
    <row r="17" spans="1:18" ht="12.75" customHeight="1">
      <c r="A17" s="1021"/>
      <c r="B17" s="1174">
        <v>4</v>
      </c>
      <c r="C17" s="1660"/>
      <c r="D17" s="1660"/>
      <c r="E17" s="1660"/>
      <c r="F17" s="1660"/>
      <c r="G17" s="1658"/>
      <c r="H17" s="1658"/>
      <c r="I17" s="1658"/>
      <c r="J17" s="1175"/>
      <c r="K17" s="1675"/>
      <c r="L17" s="1675"/>
      <c r="M17" s="267"/>
      <c r="N17" s="734"/>
      <c r="R17" s="1177" t="b">
        <f t="shared" si="0"/>
        <v>0</v>
      </c>
    </row>
    <row r="18" spans="1:18" ht="12.75" customHeight="1">
      <c r="A18" s="1021"/>
      <c r="B18" s="1174">
        <v>5</v>
      </c>
      <c r="C18" s="1660"/>
      <c r="D18" s="1660"/>
      <c r="E18" s="1660"/>
      <c r="F18" s="1660"/>
      <c r="G18" s="1658"/>
      <c r="H18" s="1658"/>
      <c r="I18" s="1658"/>
      <c r="J18" s="1175"/>
      <c r="K18" s="1675"/>
      <c r="L18" s="1675"/>
      <c r="M18" s="267"/>
      <c r="N18" s="734"/>
      <c r="R18" s="1177" t="b">
        <f t="shared" si="0"/>
        <v>0</v>
      </c>
    </row>
    <row r="19" spans="1:18" ht="12.75" customHeight="1">
      <c r="A19" s="1021"/>
      <c r="B19" s="1174">
        <v>6</v>
      </c>
      <c r="C19" s="1660"/>
      <c r="D19" s="1660"/>
      <c r="E19" s="1660"/>
      <c r="F19" s="1660"/>
      <c r="G19" s="1658"/>
      <c r="H19" s="1658"/>
      <c r="I19" s="1658"/>
      <c r="J19" s="1175"/>
      <c r="K19" s="1675"/>
      <c r="L19" s="1675"/>
      <c r="M19" s="267"/>
      <c r="N19" s="734"/>
      <c r="R19" s="1177" t="b">
        <f t="shared" si="0"/>
        <v>0</v>
      </c>
    </row>
    <row r="20" spans="1:18" ht="12.75" customHeight="1">
      <c r="A20" s="1021"/>
      <c r="B20" s="1174">
        <v>7</v>
      </c>
      <c r="C20" s="1660"/>
      <c r="D20" s="1660"/>
      <c r="E20" s="1660"/>
      <c r="F20" s="1660"/>
      <c r="G20" s="1658"/>
      <c r="H20" s="1658"/>
      <c r="I20" s="1658"/>
      <c r="J20" s="1175"/>
      <c r="K20" s="1675"/>
      <c r="L20" s="1675"/>
      <c r="M20" s="267"/>
      <c r="N20" s="734"/>
      <c r="R20" s="1177" t="b">
        <f t="shared" si="0"/>
        <v>0</v>
      </c>
    </row>
    <row r="21" spans="1:18" ht="12.75" customHeight="1">
      <c r="A21" s="1021"/>
      <c r="B21" s="1174">
        <v>8</v>
      </c>
      <c r="C21" s="1660"/>
      <c r="D21" s="1660"/>
      <c r="E21" s="1660"/>
      <c r="F21" s="1660"/>
      <c r="G21" s="1658"/>
      <c r="H21" s="1658"/>
      <c r="I21" s="1658"/>
      <c r="J21" s="1175"/>
      <c r="K21" s="1675"/>
      <c r="L21" s="1675"/>
      <c r="M21" s="267"/>
      <c r="N21" s="734"/>
      <c r="R21" s="1177" t="b">
        <f t="shared" si="0"/>
        <v>0</v>
      </c>
    </row>
    <row r="22" spans="1:18" ht="12.75" customHeight="1">
      <c r="A22" s="1021"/>
      <c r="B22" s="1174">
        <v>9</v>
      </c>
      <c r="C22" s="1660"/>
      <c r="D22" s="1660"/>
      <c r="E22" s="1660"/>
      <c r="F22" s="1660"/>
      <c r="G22" s="1658"/>
      <c r="H22" s="1658"/>
      <c r="I22" s="1658"/>
      <c r="J22" s="1175"/>
      <c r="K22" s="1675"/>
      <c r="L22" s="1675"/>
      <c r="M22" s="267"/>
      <c r="N22" s="734"/>
      <c r="R22" s="1177" t="b">
        <f t="shared" si="0"/>
        <v>0</v>
      </c>
    </row>
    <row r="23" spans="1:18" ht="12.75" customHeight="1">
      <c r="A23" s="1021"/>
      <c r="B23" s="1174">
        <v>10</v>
      </c>
      <c r="C23" s="1660"/>
      <c r="D23" s="1660"/>
      <c r="E23" s="1660"/>
      <c r="F23" s="1660"/>
      <c r="G23" s="1658"/>
      <c r="H23" s="1658"/>
      <c r="I23" s="1658"/>
      <c r="J23" s="1175"/>
      <c r="K23" s="1675"/>
      <c r="L23" s="1675"/>
      <c r="M23" s="267"/>
      <c r="N23" s="734"/>
      <c r="R23" s="1177" t="b">
        <f t="shared" si="0"/>
        <v>0</v>
      </c>
    </row>
    <row r="24" spans="1:18" ht="12.75" customHeight="1">
      <c r="A24" s="1021"/>
      <c r="B24" s="267"/>
      <c r="C24" s="267"/>
      <c r="D24" s="267"/>
      <c r="E24" s="267"/>
      <c r="F24" s="267"/>
      <c r="G24" s="267"/>
      <c r="H24" s="267"/>
      <c r="I24" s="267"/>
      <c r="J24" s="267"/>
      <c r="K24" s="267"/>
      <c r="L24" s="267"/>
      <c r="M24" s="267"/>
      <c r="N24" s="734"/>
    </row>
    <row r="25" spans="1:18" s="28" customFormat="1" ht="18.75" customHeight="1">
      <c r="A25" s="842"/>
      <c r="B25" s="35">
        <v>15</v>
      </c>
      <c r="C25" s="1512" t="str">
        <f>Translations!$B$9</f>
        <v>Vartojamų sąvokų ir santrumpų sąrašas</v>
      </c>
      <c r="D25" s="1512"/>
      <c r="E25" s="1512"/>
      <c r="F25" s="1512"/>
      <c r="G25" s="1512"/>
      <c r="H25" s="1512"/>
      <c r="I25" s="1512"/>
      <c r="J25" s="1512"/>
      <c r="K25" s="1512"/>
      <c r="L25" s="1512"/>
      <c r="M25" s="1512"/>
      <c r="N25" s="744"/>
      <c r="P25" s="1100"/>
      <c r="Q25" s="1100"/>
      <c r="R25" s="1100"/>
    </row>
    <row r="26" spans="1:18" ht="5.0999999999999996" customHeight="1">
      <c r="A26" s="836"/>
      <c r="B26" s="269"/>
      <c r="C26" s="1022"/>
      <c r="D26" s="1022"/>
      <c r="E26" s="1022"/>
      <c r="F26" s="1022"/>
      <c r="G26" s="1022"/>
      <c r="H26" s="1022"/>
      <c r="I26" s="1022"/>
      <c r="J26" s="1022"/>
      <c r="K26" s="267"/>
      <c r="L26" s="267"/>
      <c r="M26" s="267"/>
      <c r="N26" s="734"/>
    </row>
    <row r="27" spans="1:18" ht="12.75" customHeight="1">
      <c r="A27" s="836"/>
      <c r="B27" s="268"/>
      <c r="C27" s="1391" t="str">
        <f>Translations!$B$775</f>
        <v>Pateikite santrumpų, akronimų arba apibrėžčių, kuriuos naudojote rengdami šią metinę išmetamųjų ŠESD kiekio ataskaitą, sąrašą.</v>
      </c>
      <c r="D27" s="1391"/>
      <c r="E27" s="1391"/>
      <c r="F27" s="1391"/>
      <c r="G27" s="1391"/>
      <c r="H27" s="1391"/>
      <c r="I27" s="1391"/>
      <c r="J27" s="1391"/>
      <c r="K27" s="1391"/>
      <c r="L27" s="1391"/>
      <c r="M27" s="267"/>
      <c r="N27" s="734"/>
    </row>
    <row r="28" spans="1:18" ht="5.0999999999999996" customHeight="1">
      <c r="A28" s="836"/>
      <c r="B28" s="269"/>
      <c r="C28" s="1022"/>
      <c r="D28" s="1022"/>
      <c r="E28" s="1022"/>
      <c r="F28" s="1022"/>
      <c r="G28" s="1022"/>
      <c r="H28" s="1022"/>
      <c r="I28" s="1022"/>
      <c r="J28" s="1022"/>
      <c r="K28" s="267"/>
      <c r="L28" s="267"/>
      <c r="M28" s="267"/>
      <c r="N28" s="734"/>
    </row>
    <row r="29" spans="1:18">
      <c r="A29" s="836"/>
      <c r="B29" s="1023"/>
      <c r="C29" s="1527" t="str">
        <f>Translations!$B$172</f>
        <v>Santrumpa</v>
      </c>
      <c r="D29" s="1638"/>
      <c r="E29" s="1527" t="str">
        <f>Translations!$B$173</f>
        <v>Apibrėžtis</v>
      </c>
      <c r="F29" s="1638"/>
      <c r="G29" s="1638"/>
      <c r="H29" s="1638"/>
      <c r="I29" s="1638"/>
      <c r="J29" s="1638"/>
      <c r="K29" s="1638"/>
      <c r="L29" s="1638"/>
      <c r="M29" s="267"/>
      <c r="N29" s="734"/>
    </row>
    <row r="30" spans="1:18">
      <c r="A30" s="836"/>
      <c r="B30" s="1023"/>
      <c r="C30" s="1660" t="s">
        <v>1833</v>
      </c>
      <c r="D30" s="1660"/>
      <c r="E30" s="1658" t="s">
        <v>1834</v>
      </c>
      <c r="F30" s="1658"/>
      <c r="G30" s="1658"/>
      <c r="H30" s="1658"/>
      <c r="I30" s="1658"/>
      <c r="J30" s="1658"/>
      <c r="K30" s="1658"/>
      <c r="L30" s="1658"/>
      <c r="M30" s="267"/>
      <c r="N30" s="734"/>
    </row>
    <row r="31" spans="1:18">
      <c r="A31" s="836"/>
      <c r="B31" s="1023"/>
      <c r="C31" s="1660" t="s">
        <v>1839</v>
      </c>
      <c r="D31" s="1660"/>
      <c r="E31" s="1658" t="s">
        <v>1835</v>
      </c>
      <c r="F31" s="1658"/>
      <c r="G31" s="1658"/>
      <c r="H31" s="1658"/>
      <c r="I31" s="1658"/>
      <c r="J31" s="1658"/>
      <c r="K31" s="1658"/>
      <c r="L31" s="1658"/>
      <c r="M31" s="267"/>
      <c r="N31" s="734"/>
    </row>
    <row r="32" spans="1:18">
      <c r="A32" s="836"/>
      <c r="B32" s="1023"/>
      <c r="C32" s="1660" t="s">
        <v>1840</v>
      </c>
      <c r="D32" s="1660"/>
      <c r="E32" s="1658" t="s">
        <v>1836</v>
      </c>
      <c r="F32" s="1658"/>
      <c r="G32" s="1658"/>
      <c r="H32" s="1658"/>
      <c r="I32" s="1658"/>
      <c r="J32" s="1658"/>
      <c r="K32" s="1658"/>
      <c r="L32" s="1658"/>
      <c r="M32" s="267"/>
      <c r="N32" s="734"/>
    </row>
    <row r="33" spans="1:18">
      <c r="A33" s="836"/>
      <c r="B33" s="1023"/>
      <c r="C33" s="1660" t="s">
        <v>1841</v>
      </c>
      <c r="D33" s="1660"/>
      <c r="E33" s="1658" t="s">
        <v>1837</v>
      </c>
      <c r="F33" s="1658"/>
      <c r="G33" s="1658"/>
      <c r="H33" s="1658"/>
      <c r="I33" s="1658"/>
      <c r="J33" s="1658"/>
      <c r="K33" s="1658"/>
      <c r="L33" s="1658"/>
      <c r="M33" s="267"/>
      <c r="N33" s="734"/>
    </row>
    <row r="34" spans="1:18">
      <c r="A34" s="836"/>
      <c r="B34" s="1023"/>
      <c r="C34" s="1660" t="s">
        <v>1842</v>
      </c>
      <c r="D34" s="1660"/>
      <c r="E34" s="1658" t="s">
        <v>1838</v>
      </c>
      <c r="F34" s="1658"/>
      <c r="G34" s="1658"/>
      <c r="H34" s="1658"/>
      <c r="I34" s="1658"/>
      <c r="J34" s="1658"/>
      <c r="K34" s="1658"/>
      <c r="L34" s="1658"/>
      <c r="M34" s="267"/>
      <c r="N34" s="734"/>
    </row>
    <row r="35" spans="1:18">
      <c r="A35" s="836"/>
      <c r="B35" s="1023"/>
      <c r="C35" s="1660"/>
      <c r="D35" s="1660"/>
      <c r="E35" s="1658"/>
      <c r="F35" s="1658"/>
      <c r="G35" s="1658"/>
      <c r="H35" s="1658"/>
      <c r="I35" s="1658"/>
      <c r="J35" s="1658"/>
      <c r="K35" s="1658"/>
      <c r="L35" s="1658"/>
      <c r="M35" s="267"/>
      <c r="N35" s="734"/>
    </row>
    <row r="36" spans="1:18">
      <c r="A36" s="836"/>
      <c r="B36" s="1023"/>
      <c r="C36" s="1660"/>
      <c r="D36" s="1660"/>
      <c r="E36" s="1658"/>
      <c r="F36" s="1658"/>
      <c r="G36" s="1658"/>
      <c r="H36" s="1658"/>
      <c r="I36" s="1658"/>
      <c r="J36" s="1658"/>
      <c r="K36" s="1658"/>
      <c r="L36" s="1658"/>
      <c r="M36" s="267"/>
      <c r="N36" s="734"/>
    </row>
    <row r="37" spans="1:18">
      <c r="A37" s="836"/>
      <c r="B37" s="1023"/>
      <c r="C37" s="1660"/>
      <c r="D37" s="1660"/>
      <c r="E37" s="1658"/>
      <c r="F37" s="1658"/>
      <c r="G37" s="1658"/>
      <c r="H37" s="1658"/>
      <c r="I37" s="1658"/>
      <c r="J37" s="1658"/>
      <c r="K37" s="1658"/>
      <c r="L37" s="1658"/>
      <c r="M37" s="267"/>
      <c r="N37" s="734"/>
    </row>
    <row r="38" spans="1:18">
      <c r="A38" s="836"/>
      <c r="B38" s="1023"/>
      <c r="C38" s="1660"/>
      <c r="D38" s="1660"/>
      <c r="E38" s="1658"/>
      <c r="F38" s="1658"/>
      <c r="G38" s="1658"/>
      <c r="H38" s="1658"/>
      <c r="I38" s="1658"/>
      <c r="J38" s="1658"/>
      <c r="K38" s="1658"/>
      <c r="L38" s="1658"/>
      <c r="M38" s="267"/>
      <c r="N38" s="734"/>
    </row>
    <row r="39" spans="1:18">
      <c r="A39" s="836"/>
      <c r="B39" s="1023"/>
      <c r="C39" s="1660"/>
      <c r="D39" s="1660"/>
      <c r="E39" s="1658"/>
      <c r="F39" s="1658"/>
      <c r="G39" s="1658"/>
      <c r="H39" s="1658"/>
      <c r="I39" s="1658"/>
      <c r="J39" s="1658"/>
      <c r="K39" s="1658"/>
      <c r="L39" s="1658"/>
      <c r="M39" s="267"/>
      <c r="N39" s="734"/>
    </row>
    <row r="40" spans="1:18">
      <c r="A40" s="836"/>
      <c r="B40" s="267"/>
      <c r="C40" s="272"/>
      <c r="D40" s="273"/>
      <c r="E40" s="273"/>
      <c r="F40" s="273"/>
      <c r="G40" s="273"/>
      <c r="H40" s="273"/>
      <c r="I40" s="273"/>
      <c r="J40" s="273"/>
      <c r="K40" s="273"/>
      <c r="L40" s="267"/>
      <c r="M40" s="267"/>
      <c r="N40" s="734"/>
    </row>
    <row r="41" spans="1:18" s="28" customFormat="1" ht="18.75" customHeight="1">
      <c r="A41" s="842"/>
      <c r="B41" s="35">
        <v>16</v>
      </c>
      <c r="C41" s="1512" t="str">
        <f>Translations!$B$10</f>
        <v>Papildoma informacija</v>
      </c>
      <c r="D41" s="1512"/>
      <c r="E41" s="1512"/>
      <c r="F41" s="1512"/>
      <c r="G41" s="1512"/>
      <c r="H41" s="1512"/>
      <c r="I41" s="1512"/>
      <c r="J41" s="1512"/>
      <c r="K41" s="1512"/>
      <c r="L41" s="1512"/>
      <c r="M41" s="1512"/>
      <c r="N41" s="744"/>
      <c r="P41" s="1100"/>
      <c r="Q41" s="1100"/>
      <c r="R41" s="1100"/>
    </row>
    <row r="42" spans="1:18" ht="5.0999999999999996" customHeight="1">
      <c r="A42" s="836"/>
      <c r="B42" s="269"/>
      <c r="C42" s="1022"/>
      <c r="D42" s="1022"/>
      <c r="E42" s="1022"/>
      <c r="F42" s="1022"/>
      <c r="G42" s="1022"/>
      <c r="H42" s="1022"/>
      <c r="I42" s="1022"/>
      <c r="J42" s="1022"/>
      <c r="K42" s="267"/>
      <c r="L42" s="267"/>
      <c r="M42" s="267"/>
      <c r="N42" s="734"/>
    </row>
    <row r="43" spans="1:18" ht="25.5" customHeight="1">
      <c r="A43" s="836"/>
      <c r="B43" s="268"/>
      <c r="C43" s="1391"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1"/>
      <c r="E43" s="1391"/>
      <c r="F43" s="1391"/>
      <c r="G43" s="1391"/>
      <c r="H43" s="1391"/>
      <c r="I43" s="1391"/>
      <c r="J43" s="1391"/>
      <c r="K43" s="1391"/>
      <c r="L43" s="1391"/>
      <c r="M43" s="267"/>
      <c r="N43" s="734"/>
    </row>
    <row r="44" spans="1:18" ht="25.5" customHeight="1">
      <c r="A44" s="836"/>
      <c r="B44" s="1024"/>
      <c r="C44" s="1682"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82"/>
      <c r="E44" s="1682"/>
      <c r="F44" s="1682"/>
      <c r="G44" s="1682"/>
      <c r="H44" s="1682"/>
      <c r="I44" s="1682"/>
      <c r="J44" s="1682"/>
      <c r="K44" s="1682"/>
      <c r="L44" s="1682"/>
      <c r="M44" s="267"/>
      <c r="N44" s="734"/>
    </row>
    <row r="45" spans="1:18" ht="5.0999999999999996" customHeight="1">
      <c r="A45" s="836"/>
      <c r="B45" s="269"/>
      <c r="C45" s="1022"/>
      <c r="D45" s="1022"/>
      <c r="E45" s="1022"/>
      <c r="F45" s="1022"/>
      <c r="G45" s="1022"/>
      <c r="H45" s="1022"/>
      <c r="I45" s="1022"/>
      <c r="J45" s="1022"/>
      <c r="K45" s="267"/>
      <c r="L45" s="267"/>
      <c r="M45" s="267"/>
      <c r="N45" s="734"/>
    </row>
    <row r="46" spans="1:18" ht="12.75" customHeight="1">
      <c r="A46" s="836"/>
      <c r="B46" s="1023"/>
      <c r="C46" s="1527" t="str">
        <f>Translations!$B$174</f>
        <v>Rinkmenos pavadinimas / nuoroda</v>
      </c>
      <c r="D46" s="1638"/>
      <c r="E46" s="1527" t="str">
        <f>Translations!$B$175</f>
        <v>Dokumento aprašymas</v>
      </c>
      <c r="F46" s="1638"/>
      <c r="G46" s="1638"/>
      <c r="H46" s="1638"/>
      <c r="I46" s="1638"/>
      <c r="J46" s="1638"/>
      <c r="K46" s="1638"/>
      <c r="L46" s="1638"/>
      <c r="M46" s="267"/>
      <c r="N46" s="734"/>
    </row>
    <row r="47" spans="1:18">
      <c r="A47" s="836"/>
      <c r="B47" s="1023"/>
      <c r="C47" s="1660"/>
      <c r="D47" s="1660"/>
      <c r="E47" s="1658"/>
      <c r="F47" s="1658"/>
      <c r="G47" s="1658"/>
      <c r="H47" s="1658"/>
      <c r="I47" s="1658"/>
      <c r="J47" s="1658"/>
      <c r="K47" s="1658"/>
      <c r="L47" s="1658"/>
      <c r="M47" s="267"/>
      <c r="N47" s="734"/>
    </row>
    <row r="48" spans="1:18">
      <c r="A48" s="836"/>
      <c r="B48" s="1023"/>
      <c r="C48" s="1660"/>
      <c r="D48" s="1660"/>
      <c r="E48" s="1658"/>
      <c r="F48" s="1658"/>
      <c r="G48" s="1658"/>
      <c r="H48" s="1658"/>
      <c r="I48" s="1658"/>
      <c r="J48" s="1658"/>
      <c r="K48" s="1658"/>
      <c r="L48" s="1658"/>
      <c r="M48" s="267"/>
      <c r="N48" s="734"/>
    </row>
    <row r="49" spans="1:14">
      <c r="A49" s="836"/>
      <c r="B49" s="1023"/>
      <c r="C49" s="1660"/>
      <c r="D49" s="1660"/>
      <c r="E49" s="1658"/>
      <c r="F49" s="1658"/>
      <c r="G49" s="1658"/>
      <c r="H49" s="1658"/>
      <c r="I49" s="1658"/>
      <c r="J49" s="1658"/>
      <c r="K49" s="1658"/>
      <c r="L49" s="1658"/>
      <c r="M49" s="267"/>
      <c r="N49" s="734"/>
    </row>
    <row r="50" spans="1:14">
      <c r="A50" s="836"/>
      <c r="B50" s="1023"/>
      <c r="C50" s="1660"/>
      <c r="D50" s="1660"/>
      <c r="E50" s="1658"/>
      <c r="F50" s="1658"/>
      <c r="G50" s="1658"/>
      <c r="H50" s="1658"/>
      <c r="I50" s="1658"/>
      <c r="J50" s="1658"/>
      <c r="K50" s="1658"/>
      <c r="L50" s="1658"/>
      <c r="M50" s="267"/>
      <c r="N50" s="734"/>
    </row>
    <row r="51" spans="1:14">
      <c r="A51" s="836"/>
      <c r="B51" s="1023"/>
      <c r="C51" s="1660"/>
      <c r="D51" s="1660"/>
      <c r="E51" s="1658"/>
      <c r="F51" s="1658"/>
      <c r="G51" s="1658"/>
      <c r="H51" s="1658"/>
      <c r="I51" s="1658"/>
      <c r="J51" s="1658"/>
      <c r="K51" s="1658"/>
      <c r="L51" s="1658"/>
      <c r="M51" s="267"/>
      <c r="N51" s="734"/>
    </row>
    <row r="52" spans="1:14">
      <c r="A52" s="836"/>
      <c r="B52" s="1023"/>
      <c r="C52" s="1660"/>
      <c r="D52" s="1660"/>
      <c r="E52" s="1658"/>
      <c r="F52" s="1658"/>
      <c r="G52" s="1658"/>
      <c r="H52" s="1658"/>
      <c r="I52" s="1658"/>
      <c r="J52" s="1658"/>
      <c r="K52" s="1658"/>
      <c r="L52" s="1658"/>
      <c r="M52" s="267"/>
      <c r="N52" s="734"/>
    </row>
    <row r="53" spans="1:14">
      <c r="A53" s="836"/>
      <c r="B53" s="1023"/>
      <c r="C53" s="1660"/>
      <c r="D53" s="1660"/>
      <c r="E53" s="1658"/>
      <c r="F53" s="1658"/>
      <c r="G53" s="1658"/>
      <c r="H53" s="1658"/>
      <c r="I53" s="1658"/>
      <c r="J53" s="1658"/>
      <c r="K53" s="1658"/>
      <c r="L53" s="1658"/>
      <c r="M53" s="267"/>
      <c r="N53" s="734"/>
    </row>
    <row r="54" spans="1:14">
      <c r="A54" s="836"/>
      <c r="B54" s="1023"/>
      <c r="C54" s="1660"/>
      <c r="D54" s="1660"/>
      <c r="E54" s="1658"/>
      <c r="F54" s="1658"/>
      <c r="G54" s="1658"/>
      <c r="H54" s="1658"/>
      <c r="I54" s="1658"/>
      <c r="J54" s="1658"/>
      <c r="K54" s="1658"/>
      <c r="L54" s="1658"/>
      <c r="M54" s="267"/>
      <c r="N54" s="734"/>
    </row>
    <row r="55" spans="1:14">
      <c r="A55" s="836"/>
      <c r="B55" s="1023"/>
      <c r="C55" s="1660"/>
      <c r="D55" s="1660"/>
      <c r="E55" s="1658"/>
      <c r="F55" s="1658"/>
      <c r="G55" s="1658"/>
      <c r="H55" s="1658"/>
      <c r="I55" s="1658"/>
      <c r="J55" s="1658"/>
      <c r="K55" s="1658"/>
      <c r="L55" s="1658"/>
      <c r="M55" s="267"/>
      <c r="N55" s="734"/>
    </row>
    <row r="56" spans="1:14">
      <c r="A56" s="836"/>
      <c r="B56" s="1023"/>
      <c r="C56" s="1660"/>
      <c r="D56" s="1660"/>
      <c r="E56" s="1658"/>
      <c r="F56" s="1658"/>
      <c r="G56" s="1658"/>
      <c r="H56" s="1658"/>
      <c r="I56" s="1658"/>
      <c r="J56" s="1658"/>
      <c r="K56" s="1658"/>
      <c r="L56" s="1658"/>
      <c r="M56" s="267"/>
      <c r="N56" s="734"/>
    </row>
    <row r="57" spans="1:14" ht="12.75" customHeight="1">
      <c r="A57" s="836"/>
      <c r="B57" s="267"/>
      <c r="C57" s="1023"/>
      <c r="D57" s="267"/>
      <c r="E57" s="267"/>
      <c r="F57" s="267"/>
      <c r="G57" s="267"/>
      <c r="H57" s="267"/>
      <c r="I57" s="267"/>
      <c r="J57" s="267"/>
      <c r="K57" s="267"/>
      <c r="L57" s="267"/>
      <c r="M57" s="267"/>
      <c r="N57" s="734"/>
    </row>
    <row r="58" spans="1:14" ht="18" customHeight="1">
      <c r="A58" s="1021"/>
      <c r="B58" s="1659" t="str">
        <f>Translations!$B$778</f>
        <v>Su konkrečia valstybe nare susijusi papildoma informacija</v>
      </c>
      <c r="C58" s="1659"/>
      <c r="D58" s="1659"/>
      <c r="E58" s="1659"/>
      <c r="F58" s="1659"/>
      <c r="G58" s="1659"/>
      <c r="H58" s="1659"/>
      <c r="I58" s="1659"/>
      <c r="J58" s="1659"/>
      <c r="K58" s="267"/>
      <c r="L58" s="267"/>
      <c r="M58" s="267"/>
      <c r="N58" s="734"/>
    </row>
    <row r="59" spans="1:14">
      <c r="A59" s="1021"/>
      <c r="B59" s="267"/>
      <c r="C59" s="267"/>
      <c r="D59" s="267"/>
      <c r="E59" s="267"/>
      <c r="F59" s="267"/>
      <c r="G59" s="267"/>
      <c r="H59" s="267"/>
      <c r="I59" s="267"/>
      <c r="J59" s="267"/>
      <c r="K59" s="267"/>
      <c r="L59" s="267"/>
      <c r="M59" s="267"/>
      <c r="N59" s="734"/>
    </row>
    <row r="60" spans="1:14" ht="15.75">
      <c r="A60" s="1021"/>
      <c r="B60" s="35">
        <v>17</v>
      </c>
      <c r="C60" s="1670" t="str">
        <f>Translations!$B$11</f>
        <v>Pastabos</v>
      </c>
      <c r="D60" s="1671"/>
      <c r="E60" s="1671"/>
      <c r="F60" s="1671"/>
      <c r="G60" s="1671"/>
      <c r="H60" s="1671"/>
      <c r="I60" s="1671"/>
      <c r="J60" s="1671"/>
      <c r="K60" s="1671"/>
      <c r="L60" s="1671"/>
      <c r="M60" s="1671"/>
      <c r="N60" s="734"/>
    </row>
    <row r="61" spans="1:14" ht="5.0999999999999996" customHeight="1">
      <c r="A61" s="1021"/>
      <c r="B61" s="267"/>
      <c r="C61" s="267"/>
      <c r="D61" s="267"/>
      <c r="E61" s="267"/>
      <c r="F61" s="267"/>
      <c r="G61" s="267"/>
      <c r="H61" s="267"/>
      <c r="I61" s="267"/>
      <c r="J61" s="267"/>
      <c r="K61" s="267"/>
      <c r="L61" s="267"/>
      <c r="M61" s="267"/>
      <c r="N61" s="734"/>
    </row>
    <row r="62" spans="1:14">
      <c r="A62" s="1021"/>
      <c r="B62" s="1672" t="str">
        <f>Translations!$B$176</f>
        <v>Vieta tolesnėms pastaboms:</v>
      </c>
      <c r="C62" s="1438"/>
      <c r="D62" s="1438"/>
      <c r="E62" s="1438"/>
      <c r="F62" s="1438"/>
      <c r="G62" s="1438"/>
      <c r="H62" s="1438"/>
      <c r="I62" s="1438"/>
      <c r="J62" s="1438"/>
      <c r="K62" s="1438"/>
      <c r="L62" s="1438"/>
      <c r="M62" s="1438"/>
      <c r="N62" s="734"/>
    </row>
    <row r="63" spans="1:14" ht="12.75" customHeight="1">
      <c r="A63" s="1021"/>
      <c r="B63" s="1679" t="s">
        <v>1843</v>
      </c>
      <c r="C63" s="1680"/>
      <c r="D63" s="1680"/>
      <c r="E63" s="1680"/>
      <c r="F63" s="1680"/>
      <c r="G63" s="1680"/>
      <c r="H63" s="1680"/>
      <c r="I63" s="1680"/>
      <c r="J63" s="1680"/>
      <c r="K63" s="1680"/>
      <c r="L63" s="1680"/>
      <c r="M63" s="1681"/>
      <c r="N63" s="734"/>
    </row>
    <row r="64" spans="1:14">
      <c r="A64" s="1021"/>
      <c r="B64" s="1667" t="s">
        <v>1844</v>
      </c>
      <c r="C64" s="1677"/>
      <c r="D64" s="1677"/>
      <c r="E64" s="1677"/>
      <c r="F64" s="1677"/>
      <c r="G64" s="1677"/>
      <c r="H64" s="1677"/>
      <c r="I64" s="1677"/>
      <c r="J64" s="1677"/>
      <c r="K64" s="1677"/>
      <c r="L64" s="1677"/>
      <c r="M64" s="1678"/>
      <c r="N64" s="734"/>
    </row>
    <row r="65" spans="1:14">
      <c r="A65" s="1021"/>
      <c r="B65" s="1667" t="s">
        <v>1845</v>
      </c>
      <c r="C65" s="1677"/>
      <c r="D65" s="1677"/>
      <c r="E65" s="1677"/>
      <c r="F65" s="1677"/>
      <c r="G65" s="1677"/>
      <c r="H65" s="1677"/>
      <c r="I65" s="1677"/>
      <c r="J65" s="1677"/>
      <c r="K65" s="1677"/>
      <c r="L65" s="1677"/>
      <c r="M65" s="1678"/>
      <c r="N65" s="734"/>
    </row>
    <row r="66" spans="1:14">
      <c r="A66" s="1021"/>
      <c r="B66" s="1667" t="s">
        <v>1846</v>
      </c>
      <c r="C66" s="1677"/>
      <c r="D66" s="1677"/>
      <c r="E66" s="1677"/>
      <c r="F66" s="1677"/>
      <c r="G66" s="1677"/>
      <c r="H66" s="1677"/>
      <c r="I66" s="1677"/>
      <c r="J66" s="1677"/>
      <c r="K66" s="1677"/>
      <c r="L66" s="1677"/>
      <c r="M66" s="1678"/>
      <c r="N66" s="734"/>
    </row>
    <row r="67" spans="1:14">
      <c r="A67" s="1021"/>
      <c r="B67" s="1667" t="s">
        <v>1847</v>
      </c>
      <c r="C67" s="1677"/>
      <c r="D67" s="1677"/>
      <c r="E67" s="1677"/>
      <c r="F67" s="1677"/>
      <c r="G67" s="1677"/>
      <c r="H67" s="1677"/>
      <c r="I67" s="1677"/>
      <c r="J67" s="1677"/>
      <c r="K67" s="1677"/>
      <c r="L67" s="1677"/>
      <c r="M67" s="1678"/>
      <c r="N67" s="734"/>
    </row>
    <row r="68" spans="1:14">
      <c r="A68" s="1021"/>
      <c r="B68" s="1667" t="s">
        <v>1848</v>
      </c>
      <c r="C68" s="1677"/>
      <c r="D68" s="1677"/>
      <c r="E68" s="1677"/>
      <c r="F68" s="1677"/>
      <c r="G68" s="1677"/>
      <c r="H68" s="1677"/>
      <c r="I68" s="1677"/>
      <c r="J68" s="1677"/>
      <c r="K68" s="1677"/>
      <c r="L68" s="1677"/>
      <c r="M68" s="1678"/>
      <c r="N68" s="734"/>
    </row>
    <row r="69" spans="1:14">
      <c r="A69" s="1021"/>
      <c r="B69" s="1667" t="s">
        <v>1849</v>
      </c>
      <c r="C69" s="1677"/>
      <c r="D69" s="1677"/>
      <c r="E69" s="1677"/>
      <c r="F69" s="1677"/>
      <c r="G69" s="1677"/>
      <c r="H69" s="1677"/>
      <c r="I69" s="1677"/>
      <c r="J69" s="1677"/>
      <c r="K69" s="1677"/>
      <c r="L69" s="1677"/>
      <c r="M69" s="1678"/>
      <c r="N69" s="734"/>
    </row>
    <row r="70" spans="1:14">
      <c r="A70" s="1021"/>
      <c r="B70" s="1676" t="s">
        <v>1850</v>
      </c>
      <c r="C70" s="1677"/>
      <c r="D70" s="1677"/>
      <c r="E70" s="1677"/>
      <c r="F70" s="1677"/>
      <c r="G70" s="1677"/>
      <c r="H70" s="1677"/>
      <c r="I70" s="1677"/>
      <c r="J70" s="1677"/>
      <c r="K70" s="1677"/>
      <c r="L70" s="1677"/>
      <c r="M70" s="1678"/>
      <c r="N70" s="734"/>
    </row>
    <row r="71" spans="1:14">
      <c r="A71" s="836"/>
      <c r="B71" s="1667" t="s">
        <v>1851</v>
      </c>
      <c r="C71" s="1677"/>
      <c r="D71" s="1677"/>
      <c r="E71" s="1677"/>
      <c r="F71" s="1677"/>
      <c r="G71" s="1677"/>
      <c r="H71" s="1677"/>
      <c r="I71" s="1677"/>
      <c r="J71" s="1677"/>
      <c r="K71" s="1677"/>
      <c r="L71" s="1677"/>
      <c r="M71" s="1678"/>
      <c r="N71" s="734"/>
    </row>
    <row r="72" spans="1:14">
      <c r="A72" s="836"/>
      <c r="B72" s="1667" t="s">
        <v>1852</v>
      </c>
      <c r="C72" s="1677"/>
      <c r="D72" s="1677"/>
      <c r="E72" s="1677"/>
      <c r="F72" s="1677"/>
      <c r="G72" s="1677"/>
      <c r="H72" s="1677"/>
      <c r="I72" s="1677"/>
      <c r="J72" s="1677"/>
      <c r="K72" s="1677"/>
      <c r="L72" s="1677"/>
      <c r="M72" s="1678"/>
      <c r="N72" s="734"/>
    </row>
    <row r="73" spans="1:14">
      <c r="A73" s="836"/>
      <c r="B73" s="1676" t="s">
        <v>1853</v>
      </c>
      <c r="C73" s="1677"/>
      <c r="D73" s="1677"/>
      <c r="E73" s="1677"/>
      <c r="F73" s="1677"/>
      <c r="G73" s="1677"/>
      <c r="H73" s="1677"/>
      <c r="I73" s="1677"/>
      <c r="J73" s="1677"/>
      <c r="K73" s="1677"/>
      <c r="L73" s="1677"/>
      <c r="M73" s="1678"/>
      <c r="N73" s="734"/>
    </row>
    <row r="74" spans="1:14">
      <c r="A74" s="836"/>
      <c r="B74" s="1667" t="s">
        <v>1854</v>
      </c>
      <c r="C74" s="1677"/>
      <c r="D74" s="1677"/>
      <c r="E74" s="1677"/>
      <c r="F74" s="1677"/>
      <c r="G74" s="1677"/>
      <c r="H74" s="1677"/>
      <c r="I74" s="1677"/>
      <c r="J74" s="1677"/>
      <c r="K74" s="1677"/>
      <c r="L74" s="1677"/>
      <c r="M74" s="1678"/>
      <c r="N74" s="734"/>
    </row>
    <row r="75" spans="1:14">
      <c r="A75" s="836"/>
      <c r="B75" s="1667" t="s">
        <v>1855</v>
      </c>
      <c r="C75" s="1677"/>
      <c r="D75" s="1677"/>
      <c r="E75" s="1677"/>
      <c r="F75" s="1677"/>
      <c r="G75" s="1677"/>
      <c r="H75" s="1677"/>
      <c r="I75" s="1677"/>
      <c r="J75" s="1677"/>
      <c r="K75" s="1677"/>
      <c r="L75" s="1677"/>
      <c r="M75" s="1678"/>
      <c r="N75" s="734"/>
    </row>
    <row r="76" spans="1:14">
      <c r="A76" s="836"/>
      <c r="B76" s="1667"/>
      <c r="C76" s="1668"/>
      <c r="D76" s="1668"/>
      <c r="E76" s="1668"/>
      <c r="F76" s="1668"/>
      <c r="G76" s="1668"/>
      <c r="H76" s="1668"/>
      <c r="I76" s="1668"/>
      <c r="J76" s="1668"/>
      <c r="K76" s="1668"/>
      <c r="L76" s="1668"/>
      <c r="M76" s="1669"/>
      <c r="N76" s="734"/>
    </row>
    <row r="77" spans="1:14">
      <c r="A77" s="836"/>
      <c r="B77" s="1667"/>
      <c r="C77" s="1668"/>
      <c r="D77" s="1668"/>
      <c r="E77" s="1668"/>
      <c r="F77" s="1668"/>
      <c r="G77" s="1668"/>
      <c r="H77" s="1668"/>
      <c r="I77" s="1668"/>
      <c r="J77" s="1668"/>
      <c r="K77" s="1668"/>
      <c r="L77" s="1668"/>
      <c r="M77" s="1669"/>
      <c r="N77" s="734"/>
    </row>
    <row r="78" spans="1:14">
      <c r="A78" s="836"/>
      <c r="B78" s="1667"/>
      <c r="C78" s="1668"/>
      <c r="D78" s="1668"/>
      <c r="E78" s="1668"/>
      <c r="F78" s="1668"/>
      <c r="G78" s="1668"/>
      <c r="H78" s="1668"/>
      <c r="I78" s="1668"/>
      <c r="J78" s="1668"/>
      <c r="K78" s="1668"/>
      <c r="L78" s="1668"/>
      <c r="M78" s="1669"/>
      <c r="N78" s="734"/>
    </row>
    <row r="79" spans="1:14">
      <c r="A79" s="836"/>
      <c r="B79" s="1667"/>
      <c r="C79" s="1668"/>
      <c r="D79" s="1668"/>
      <c r="E79" s="1668"/>
      <c r="F79" s="1668"/>
      <c r="G79" s="1668"/>
      <c r="H79" s="1668"/>
      <c r="I79" s="1668"/>
      <c r="J79" s="1668"/>
      <c r="K79" s="1668"/>
      <c r="L79" s="1668"/>
      <c r="M79" s="1669"/>
      <c r="N79" s="734"/>
    </row>
    <row r="80" spans="1:14">
      <c r="A80" s="836"/>
      <c r="B80" s="1664"/>
      <c r="C80" s="1665"/>
      <c r="D80" s="1665"/>
      <c r="E80" s="1665"/>
      <c r="F80" s="1665"/>
      <c r="G80" s="1665"/>
      <c r="H80" s="1665"/>
      <c r="I80" s="1665"/>
      <c r="J80" s="1665"/>
      <c r="K80" s="1665"/>
      <c r="L80" s="1665"/>
      <c r="M80" s="1666"/>
      <c r="N80" s="734"/>
    </row>
    <row r="81" spans="1:14">
      <c r="A81" s="836"/>
      <c r="B81" s="1664"/>
      <c r="C81" s="1665"/>
      <c r="D81" s="1665"/>
      <c r="E81" s="1665"/>
      <c r="F81" s="1665"/>
      <c r="G81" s="1665"/>
      <c r="H81" s="1665"/>
      <c r="I81" s="1665"/>
      <c r="J81" s="1665"/>
      <c r="K81" s="1665"/>
      <c r="L81" s="1665"/>
      <c r="M81" s="1666"/>
      <c r="N81" s="734"/>
    </row>
    <row r="82" spans="1:14">
      <c r="A82" s="836"/>
      <c r="B82" s="1664"/>
      <c r="C82" s="1665"/>
      <c r="D82" s="1665"/>
      <c r="E82" s="1665"/>
      <c r="F82" s="1665"/>
      <c r="G82" s="1665"/>
      <c r="H82" s="1665"/>
      <c r="I82" s="1665"/>
      <c r="J82" s="1665"/>
      <c r="K82" s="1665"/>
      <c r="L82" s="1665"/>
      <c r="M82" s="1666"/>
      <c r="N82" s="734"/>
    </row>
    <row r="83" spans="1:14">
      <c r="A83" s="836"/>
      <c r="B83" s="1664"/>
      <c r="C83" s="1665"/>
      <c r="D83" s="1665"/>
      <c r="E83" s="1665"/>
      <c r="F83" s="1665"/>
      <c r="G83" s="1665"/>
      <c r="H83" s="1665"/>
      <c r="I83" s="1665"/>
      <c r="J83" s="1665"/>
      <c r="K83" s="1665"/>
      <c r="L83" s="1665"/>
      <c r="M83" s="1666"/>
      <c r="N83" s="734"/>
    </row>
    <row r="84" spans="1:14">
      <c r="A84" s="836"/>
      <c r="B84" s="1664"/>
      <c r="C84" s="1665"/>
      <c r="D84" s="1665"/>
      <c r="E84" s="1665"/>
      <c r="F84" s="1665"/>
      <c r="G84" s="1665"/>
      <c r="H84" s="1665"/>
      <c r="I84" s="1665"/>
      <c r="J84" s="1665"/>
      <c r="K84" s="1665"/>
      <c r="L84" s="1665"/>
      <c r="M84" s="1666"/>
      <c r="N84" s="734"/>
    </row>
    <row r="85" spans="1:14">
      <c r="A85" s="836"/>
      <c r="B85" s="1664"/>
      <c r="C85" s="1665"/>
      <c r="D85" s="1665"/>
      <c r="E85" s="1665"/>
      <c r="F85" s="1665"/>
      <c r="G85" s="1665"/>
      <c r="H85" s="1665"/>
      <c r="I85" s="1665"/>
      <c r="J85" s="1665"/>
      <c r="K85" s="1665"/>
      <c r="L85" s="1665"/>
      <c r="M85" s="1666"/>
      <c r="N85" s="734"/>
    </row>
    <row r="86" spans="1:14">
      <c r="A86" s="836"/>
      <c r="B86" s="1664"/>
      <c r="C86" s="1665"/>
      <c r="D86" s="1665"/>
      <c r="E86" s="1665"/>
      <c r="F86" s="1665"/>
      <c r="G86" s="1665"/>
      <c r="H86" s="1665"/>
      <c r="I86" s="1665"/>
      <c r="J86" s="1665"/>
      <c r="K86" s="1665"/>
      <c r="L86" s="1665"/>
      <c r="M86" s="1666"/>
      <c r="N86" s="734"/>
    </row>
    <row r="87" spans="1:14">
      <c r="A87" s="836"/>
      <c r="B87" s="1664"/>
      <c r="C87" s="1665"/>
      <c r="D87" s="1665"/>
      <c r="E87" s="1665"/>
      <c r="F87" s="1665"/>
      <c r="G87" s="1665"/>
      <c r="H87" s="1665"/>
      <c r="I87" s="1665"/>
      <c r="J87" s="1665"/>
      <c r="K87" s="1665"/>
      <c r="L87" s="1665"/>
      <c r="M87" s="1666"/>
      <c r="N87" s="734"/>
    </row>
    <row r="88" spans="1:14">
      <c r="A88" s="836"/>
      <c r="B88" s="1661"/>
      <c r="C88" s="1662"/>
      <c r="D88" s="1662"/>
      <c r="E88" s="1662"/>
      <c r="F88" s="1662"/>
      <c r="G88" s="1662"/>
      <c r="H88" s="1662"/>
      <c r="I88" s="1662"/>
      <c r="J88" s="1662"/>
      <c r="K88" s="1662"/>
      <c r="L88" s="1662"/>
      <c r="M88" s="1663"/>
      <c r="N88" s="734"/>
    </row>
    <row r="89" spans="1:14" ht="13.5" thickBot="1">
      <c r="A89" s="839"/>
      <c r="B89" s="828"/>
      <c r="C89" s="828"/>
      <c r="D89" s="828"/>
      <c r="E89" s="828"/>
      <c r="F89" s="828"/>
      <c r="G89" s="828"/>
      <c r="H89" s="828"/>
      <c r="I89" s="828"/>
      <c r="J89" s="828"/>
      <c r="K89" s="828"/>
      <c r="L89" s="828"/>
      <c r="M89" s="828"/>
      <c r="N89" s="834"/>
    </row>
    <row r="90" spans="1:14">
      <c r="A90" s="250"/>
      <c r="B90" s="250"/>
      <c r="C90" s="250"/>
      <c r="D90" s="250"/>
      <c r="E90" s="250"/>
      <c r="F90" s="250"/>
      <c r="G90" s="250"/>
      <c r="H90" s="250"/>
      <c r="I90" s="250"/>
      <c r="J90" s="250"/>
      <c r="K90" s="250"/>
      <c r="L90" s="250"/>
      <c r="M90" s="250"/>
    </row>
    <row r="91" spans="1:14">
      <c r="A91" s="250"/>
      <c r="B91" s="250"/>
      <c r="C91" s="250"/>
      <c r="D91" s="250"/>
      <c r="E91" s="250"/>
      <c r="F91" s="250"/>
      <c r="G91" s="250"/>
      <c r="H91" s="250"/>
      <c r="I91" s="250"/>
      <c r="J91" s="250"/>
      <c r="K91" s="250"/>
      <c r="L91" s="250"/>
      <c r="M91" s="250"/>
    </row>
    <row r="92" spans="1:14">
      <c r="A92" s="250"/>
      <c r="B92" s="250"/>
      <c r="C92" s="250"/>
      <c r="D92" s="250"/>
      <c r="E92" s="250"/>
      <c r="F92" s="250"/>
      <c r="G92" s="250"/>
      <c r="H92" s="250"/>
      <c r="J92" s="250"/>
      <c r="K92" s="250"/>
      <c r="L92" s="250"/>
      <c r="M92" s="250"/>
    </row>
  </sheetData>
  <sheetProtection sheet="1" objects="1" scenarios="1" formatCells="0" formatColumns="0" formatRows="0"/>
  <mergeCells count="131">
    <mergeCell ref="J3:K3"/>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B70:M70"/>
    <mergeCell ref="B64:M64"/>
    <mergeCell ref="B65:M65"/>
    <mergeCell ref="B63:M63"/>
    <mergeCell ref="C44:L44"/>
    <mergeCell ref="C46:D46"/>
    <mergeCell ref="E46:L46"/>
    <mergeCell ref="E50:L50"/>
    <mergeCell ref="C51:D51"/>
    <mergeCell ref="E51:L51"/>
    <mergeCell ref="C52:D52"/>
    <mergeCell ref="E52:L52"/>
    <mergeCell ref="C56:D56"/>
    <mergeCell ref="E56:L56"/>
    <mergeCell ref="C55:D55"/>
    <mergeCell ref="B73:M73"/>
    <mergeCell ref="B74:M74"/>
    <mergeCell ref="B75:M75"/>
    <mergeCell ref="E34:L34"/>
    <mergeCell ref="C35:D35"/>
    <mergeCell ref="E35:L35"/>
    <mergeCell ref="C36:D36"/>
    <mergeCell ref="E36:L36"/>
    <mergeCell ref="C37:D37"/>
    <mergeCell ref="E37:L37"/>
    <mergeCell ref="C47:D47"/>
    <mergeCell ref="E47:L47"/>
    <mergeCell ref="C48:D48"/>
    <mergeCell ref="C38:D38"/>
    <mergeCell ref="E38:L38"/>
    <mergeCell ref="C39:D39"/>
    <mergeCell ref="E39:L39"/>
    <mergeCell ref="C43:L43"/>
    <mergeCell ref="B71:M71"/>
    <mergeCell ref="B72:M72"/>
    <mergeCell ref="B66:M66"/>
    <mergeCell ref="B67:M67"/>
    <mergeCell ref="B68:M68"/>
    <mergeCell ref="B69:M69"/>
    <mergeCell ref="L2:M2"/>
    <mergeCell ref="L4:M4"/>
    <mergeCell ref="B82:M82"/>
    <mergeCell ref="D4:E4"/>
    <mergeCell ref="F4:G4"/>
    <mergeCell ref="C25:M25"/>
    <mergeCell ref="C27:L27"/>
    <mergeCell ref="C29:D29"/>
    <mergeCell ref="E29:L29"/>
    <mergeCell ref="C30:D30"/>
    <mergeCell ref="E30:L30"/>
    <mergeCell ref="C31:D31"/>
    <mergeCell ref="E31:L31"/>
    <mergeCell ref="C32:D32"/>
    <mergeCell ref="E32:L32"/>
    <mergeCell ref="C33:D33"/>
    <mergeCell ref="E33:L33"/>
    <mergeCell ref="C34:D34"/>
    <mergeCell ref="C15:F15"/>
    <mergeCell ref="G15:I15"/>
    <mergeCell ref="K15:L15"/>
    <mergeCell ref="C16:F16"/>
    <mergeCell ref="G16:I16"/>
    <mergeCell ref="K16:L16"/>
    <mergeCell ref="B88:M88"/>
    <mergeCell ref="B84:M84"/>
    <mergeCell ref="B85:M85"/>
    <mergeCell ref="B86:M86"/>
    <mergeCell ref="B87:M87"/>
    <mergeCell ref="B83:M83"/>
    <mergeCell ref="B79:M79"/>
    <mergeCell ref="B78:M78"/>
    <mergeCell ref="H4:I4"/>
    <mergeCell ref="B81:M81"/>
    <mergeCell ref="B80:M80"/>
    <mergeCell ref="B76:M76"/>
    <mergeCell ref="B77:M77"/>
    <mergeCell ref="B58:J58"/>
    <mergeCell ref="C60:M60"/>
    <mergeCell ref="B62:M62"/>
    <mergeCell ref="J4:K4"/>
    <mergeCell ref="A2:C4"/>
    <mergeCell ref="D2:E2"/>
    <mergeCell ref="F2:G2"/>
    <mergeCell ref="H2:I2"/>
    <mergeCell ref="J2:K2"/>
    <mergeCell ref="D3:E3"/>
    <mergeCell ref="H3:I3"/>
    <mergeCell ref="E55:L55"/>
    <mergeCell ref="B6:J6"/>
    <mergeCell ref="C53:D53"/>
    <mergeCell ref="E53:L53"/>
    <mergeCell ref="C54:D54"/>
    <mergeCell ref="E54:L54"/>
    <mergeCell ref="C50:D50"/>
    <mergeCell ref="E48:L48"/>
    <mergeCell ref="C49:D49"/>
    <mergeCell ref="E49:L49"/>
    <mergeCell ref="C41:M41"/>
    <mergeCell ref="G13:I13"/>
    <mergeCell ref="C13:F13"/>
    <mergeCell ref="K13:L13"/>
    <mergeCell ref="K14:L14"/>
    <mergeCell ref="G14:I14"/>
    <mergeCell ref="C14:F14"/>
    <mergeCell ref="C18:F18"/>
    <mergeCell ref="G18:I18"/>
    <mergeCell ref="K18:L18"/>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sheetPr codeName="Tabelle20">
    <tabColor rgb="FFFFC000"/>
    <pageSetUpPr fitToPage="1"/>
  </sheetPr>
  <dimension ref="A1:AC74"/>
  <sheetViews>
    <sheetView zoomScaleNormal="100" workbookViewId="0">
      <pane ySplit="4" topLeftCell="A23" activePane="bottomLeft" state="frozen"/>
      <selection activeCell="B2" sqref="B2"/>
      <selection pane="bottomLeft" activeCell="B6" sqref="B6"/>
    </sheetView>
  </sheetViews>
  <sheetFormatPr defaultColWidth="11.42578125" defaultRowHeight="12.75"/>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6" customWidth="1"/>
    <col min="14" max="14" width="15.7109375" style="56" hidden="1" customWidth="1"/>
    <col min="15" max="29" width="12.7109375" style="56" hidden="1" customWidth="1"/>
    <col min="30" max="16384" width="11.42578125" style="59"/>
  </cols>
  <sheetData>
    <row r="1" spans="1:29" ht="13.5" hidden="1" thickBot="1">
      <c r="A1" s="802" t="s">
        <v>87</v>
      </c>
      <c r="B1" s="759"/>
      <c r="C1" s="759"/>
      <c r="D1" s="762"/>
      <c r="E1" s="759"/>
      <c r="F1" s="759"/>
      <c r="G1" s="759"/>
      <c r="H1" s="759"/>
      <c r="I1" s="759"/>
      <c r="J1" s="759"/>
      <c r="K1" s="759"/>
      <c r="L1" s="759"/>
      <c r="M1" s="763"/>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c r="A2" s="807"/>
      <c r="B2" s="1404" t="str">
        <f>Translations!$B$506</f>
        <v>I. Santrauka</v>
      </c>
      <c r="C2" s="1574"/>
      <c r="D2" s="1575"/>
      <c r="E2" s="1386" t="str">
        <f>Translations!$B$23</f>
        <v>Naršymo laukas</v>
      </c>
      <c r="F2" s="1364"/>
      <c r="G2" s="1366" t="str">
        <f>Translations!$B$24</f>
        <v>Turinys</v>
      </c>
      <c r="H2" s="1367"/>
      <c r="I2" s="1366" t="str">
        <f>Translations!$B$25</f>
        <v>Ankstesnis lapas</v>
      </c>
      <c r="J2" s="1367"/>
      <c r="K2" s="1366"/>
      <c r="L2" s="1367"/>
      <c r="M2" s="864"/>
    </row>
    <row r="3" spans="1:29" ht="12.75" customHeight="1">
      <c r="A3" s="807"/>
      <c r="B3" s="1576"/>
      <c r="C3" s="1577"/>
      <c r="D3" s="1578"/>
      <c r="E3" s="1359"/>
      <c r="F3" s="1359"/>
      <c r="G3" s="1359"/>
      <c r="H3" s="1359"/>
      <c r="I3" s="1359"/>
      <c r="J3" s="1359"/>
      <c r="K3" s="1359"/>
      <c r="L3" s="1359"/>
      <c r="M3" s="732"/>
    </row>
    <row r="4" spans="1:29" ht="13.5" customHeight="1" thickBot="1">
      <c r="A4" s="807"/>
      <c r="B4" s="1579"/>
      <c r="C4" s="1580"/>
      <c r="D4" s="1581"/>
      <c r="E4" s="1359"/>
      <c r="F4" s="1359"/>
      <c r="G4" s="1599"/>
      <c r="H4" s="1359"/>
      <c r="I4" s="1359"/>
      <c r="J4" s="1359"/>
      <c r="K4" s="1359"/>
      <c r="L4" s="1359"/>
      <c r="M4" s="732"/>
    </row>
    <row r="5" spans="1:29">
      <c r="B5" s="791"/>
      <c r="C5" s="206"/>
      <c r="D5" s="206"/>
      <c r="E5" s="206"/>
      <c r="F5" s="206"/>
      <c r="G5" s="206"/>
      <c r="H5" s="206"/>
      <c r="I5" s="206"/>
      <c r="J5" s="206"/>
      <c r="K5" s="206"/>
      <c r="L5" s="206"/>
      <c r="M5" s="734"/>
    </row>
    <row r="6" spans="1:29" s="28" customFormat="1" ht="18.75" customHeight="1">
      <c r="A6" s="808"/>
      <c r="B6" s="842"/>
      <c r="C6" s="1687" t="str">
        <f>Translations!$B$779</f>
        <v xml:space="preserve">Pagal Direktyvą 2003/87/EB teikiamos metinės išmetamųjų šiltnamio efektą sukeliančių dujų kiekio ataskaitos santrauka </v>
      </c>
      <c r="D6" s="1687"/>
      <c r="E6" s="1687"/>
      <c r="F6" s="1687"/>
      <c r="G6" s="1687"/>
      <c r="H6" s="1687"/>
      <c r="I6" s="1687"/>
      <c r="J6" s="1687"/>
      <c r="K6" s="1687"/>
      <c r="L6" s="1687"/>
      <c r="M6" s="735"/>
      <c r="N6" s="392"/>
      <c r="O6" s="56"/>
      <c r="P6" s="56"/>
      <c r="Q6" s="58"/>
      <c r="R6" s="58"/>
      <c r="S6" s="58"/>
      <c r="T6" s="58"/>
      <c r="U6" s="58"/>
      <c r="V6" s="58"/>
      <c r="W6" s="58"/>
      <c r="X6" s="58"/>
      <c r="Y6" s="58"/>
      <c r="Z6" s="58"/>
      <c r="AA6" s="58"/>
      <c r="AB6" s="58"/>
      <c r="AC6" s="58"/>
    </row>
    <row r="7" spans="1:29" ht="5.0999999999999996" customHeight="1" thickBot="1">
      <c r="B7" s="791"/>
      <c r="C7" s="206"/>
      <c r="D7" s="206"/>
      <c r="E7" s="206"/>
      <c r="F7" s="206"/>
      <c r="G7" s="206"/>
      <c r="H7" s="206"/>
      <c r="I7" s="206"/>
      <c r="J7" s="206"/>
      <c r="K7" s="206"/>
      <c r="L7" s="206"/>
      <c r="M7" s="734"/>
    </row>
    <row r="8" spans="1:29" ht="18.75" thickBot="1">
      <c r="B8" s="791"/>
      <c r="C8" s="206"/>
      <c r="D8" s="206"/>
      <c r="E8" s="206"/>
      <c r="F8" s="206"/>
      <c r="G8" s="206"/>
      <c r="H8" s="206"/>
      <c r="I8" s="206"/>
      <c r="J8" s="868" t="str">
        <f>Translations!$B$780</f>
        <v>Ataskaitiniai metai:</v>
      </c>
      <c r="K8" s="1690">
        <f>IF(ISBLANK('A_Operator&amp;Inst.ID'!$J$9),"",'A_Operator&amp;Inst.ID'!$J$9)</f>
        <v>2015</v>
      </c>
      <c r="L8" s="1691"/>
      <c r="M8" s="734"/>
    </row>
    <row r="9" spans="1:29" ht="5.0999999999999996" customHeight="1">
      <c r="B9" s="791"/>
      <c r="C9" s="206"/>
      <c r="D9" s="206"/>
      <c r="E9" s="206"/>
      <c r="F9" s="206"/>
      <c r="G9" s="206"/>
      <c r="H9" s="206"/>
      <c r="I9" s="206"/>
      <c r="J9" s="206"/>
      <c r="K9" s="206"/>
      <c r="L9" s="206"/>
      <c r="M9" s="734"/>
    </row>
    <row r="10" spans="1:29" s="7" customFormat="1" ht="12.75" customHeight="1">
      <c r="A10" s="861"/>
      <c r="B10" s="793"/>
      <c r="C10" s="721"/>
      <c r="D10" s="615"/>
      <c r="E10" s="1688" t="str">
        <f>Translations!$B$541</f>
        <v>Veiklos vykdytojo pavadinimas:</v>
      </c>
      <c r="F10" s="1688"/>
      <c r="G10" s="1688"/>
      <c r="H10" s="1689"/>
      <c r="I10" s="1694" t="str">
        <f>IF(ISBLANK('A_Operator&amp;Inst.ID'!$I$26),"",'A_Operator&amp;Inst.ID'!$I$26)</f>
        <v>VĮ ,,Visagino energija"</v>
      </c>
      <c r="J10" s="1695"/>
      <c r="K10" s="1695"/>
      <c r="L10" s="1695"/>
      <c r="M10" s="746"/>
      <c r="N10" s="392"/>
      <c r="O10" s="392"/>
      <c r="P10" s="392"/>
      <c r="Q10" s="392"/>
      <c r="R10" s="392"/>
      <c r="S10" s="392"/>
      <c r="T10" s="392"/>
      <c r="U10" s="392"/>
      <c r="V10" s="392"/>
      <c r="W10" s="392"/>
      <c r="X10" s="392"/>
      <c r="Y10" s="392"/>
      <c r="Z10" s="392"/>
      <c r="AA10" s="392"/>
      <c r="AB10" s="392"/>
      <c r="AC10" s="392"/>
    </row>
    <row r="11" spans="1:29" ht="5.0999999999999996" customHeight="1">
      <c r="B11" s="791"/>
      <c r="C11" s="206"/>
      <c r="D11" s="206"/>
      <c r="E11" s="948"/>
      <c r="F11" s="948"/>
      <c r="G11" s="948"/>
      <c r="H11" s="948"/>
      <c r="I11" s="206"/>
      <c r="J11" s="206"/>
      <c r="K11" s="206"/>
      <c r="L11" s="206"/>
      <c r="M11" s="734"/>
    </row>
    <row r="12" spans="1:29" s="202" customFormat="1" ht="12.75" customHeight="1">
      <c r="A12" s="781"/>
      <c r="B12" s="793"/>
      <c r="C12" s="727"/>
      <c r="D12" s="777"/>
      <c r="E12" s="1700" t="str">
        <f>Translations!$B$13</f>
        <v>Įrenginio pavadinimas</v>
      </c>
      <c r="F12" s="1700"/>
      <c r="G12" s="1700"/>
      <c r="H12" s="1701"/>
      <c r="I12" s="1696" t="str">
        <f>IF(ISBLANK('A_Operator&amp;Inst.ID'!I43),"",'A_Operator&amp;Inst.ID'!I43)</f>
        <v>Šiluminė katilinė</v>
      </c>
      <c r="J12" s="1697"/>
      <c r="K12" s="1697"/>
      <c r="L12" s="1697"/>
      <c r="M12" s="746"/>
      <c r="N12" s="859"/>
      <c r="O12" s="859"/>
      <c r="P12" s="859"/>
      <c r="Q12" s="859"/>
      <c r="R12" s="859"/>
      <c r="S12" s="859"/>
      <c r="T12" s="859"/>
      <c r="U12" s="859"/>
      <c r="V12" s="859"/>
      <c r="W12" s="859"/>
      <c r="X12" s="859"/>
      <c r="Y12" s="859"/>
      <c r="Z12" s="859"/>
      <c r="AA12" s="859"/>
      <c r="AB12" s="859"/>
      <c r="AC12" s="859"/>
    </row>
    <row r="13" spans="1:29" s="202" customFormat="1" ht="12.75" customHeight="1">
      <c r="A13" s="781"/>
      <c r="B13" s="793"/>
      <c r="C13" s="727"/>
      <c r="D13" s="777"/>
      <c r="E13" s="1688" t="str">
        <f>Translations!$B$549</f>
        <v>Unikalus įrenginio identifikatorius:</v>
      </c>
      <c r="F13" s="1688"/>
      <c r="G13" s="1688"/>
      <c r="H13" s="1689"/>
      <c r="I13" s="1698" t="str">
        <f>IF(ISBLANK('A_Operator&amp;Inst.ID'!I45),"",'A_Operator&amp;Inst.ID'!I45)</f>
        <v>LT000000000000115</v>
      </c>
      <c r="J13" s="1699"/>
      <c r="K13" s="1699"/>
      <c r="L13" s="1699"/>
      <c r="M13" s="746"/>
      <c r="N13" s="859"/>
      <c r="O13" s="859"/>
      <c r="P13" s="859"/>
      <c r="Q13" s="859"/>
      <c r="R13" s="859"/>
      <c r="S13" s="859"/>
      <c r="T13" s="859"/>
      <c r="U13" s="859"/>
      <c r="V13" s="859"/>
      <c r="W13" s="859"/>
      <c r="X13" s="859"/>
      <c r="Y13" s="859"/>
      <c r="Z13" s="859"/>
      <c r="AA13" s="859"/>
      <c r="AB13" s="859"/>
      <c r="AC13" s="859"/>
    </row>
    <row r="14" spans="1:29" ht="5.0999999999999996" customHeight="1">
      <c r="B14" s="791"/>
      <c r="C14" s="206"/>
      <c r="D14" s="206"/>
      <c r="E14" s="206"/>
      <c r="F14" s="206"/>
      <c r="G14" s="206"/>
      <c r="H14" s="206"/>
      <c r="I14" s="206"/>
      <c r="J14" s="206"/>
      <c r="K14" s="206"/>
      <c r="L14" s="206"/>
      <c r="M14" s="734"/>
    </row>
    <row r="15" spans="1:29" ht="25.5">
      <c r="B15" s="791"/>
      <c r="C15" s="206"/>
      <c r="D15" s="206"/>
      <c r="E15" s="1654" t="str">
        <f>Translations!$B$107</f>
        <v>I priedo veikla</v>
      </c>
      <c r="F15" s="1654"/>
      <c r="G15" s="1654"/>
      <c r="H15" s="1654"/>
      <c r="I15" s="1654"/>
      <c r="J15" s="888" t="str">
        <f>Translations!$B$108</f>
        <v xml:space="preserve">Bendras veiklos pajėgumas </v>
      </c>
      <c r="K15" s="888" t="str">
        <f>Translations!$B$109</f>
        <v>Pajėgumo vienetai</v>
      </c>
      <c r="L15" s="889" t="str">
        <f>Translations!$B$110</f>
        <v>Išmestos ŠESD</v>
      </c>
      <c r="M15" s="734"/>
    </row>
    <row r="16" spans="1:29" ht="12.75" customHeight="1">
      <c r="B16" s="791"/>
      <c r="C16" s="727"/>
      <c r="D16" s="858" t="s">
        <v>97</v>
      </c>
      <c r="E16" s="1634" t="str">
        <f>IF(ISBLANK(B_InstallationDescription!E26),"",B_InstallationDescription!E26)</f>
        <v>Kuro deginimas</v>
      </c>
      <c r="F16" s="1685"/>
      <c r="G16" s="1685"/>
      <c r="H16" s="1685"/>
      <c r="I16" s="1686"/>
      <c r="J16" s="886">
        <f>IF(ISBLANK(B_InstallationDescription!L26),"",B_InstallationDescription!L26)</f>
        <v>229.5</v>
      </c>
      <c r="K16" s="886" t="str">
        <f>IF(ISBLANK(B_InstallationDescription!M26),"",B_InstallationDescription!M26)</f>
        <v>MW(šil)</v>
      </c>
      <c r="L16" s="886" t="str">
        <f>IF(ISBLANK(B_InstallationDescription!N26),"",B_InstallationDescription!N26)</f>
        <v>CO2</v>
      </c>
      <c r="M16" s="747"/>
    </row>
    <row r="17" spans="1:29" ht="12.75" customHeight="1">
      <c r="B17" s="791"/>
      <c r="C17" s="727"/>
      <c r="D17" s="858" t="s">
        <v>98</v>
      </c>
      <c r="E17" s="1634" t="str">
        <f>IF(ISBLANK(B_InstallationDescription!E27),"",B_InstallationDescription!E27)</f>
        <v/>
      </c>
      <c r="F17" s="1685"/>
      <c r="G17" s="1685"/>
      <c r="H17" s="1685"/>
      <c r="I17" s="1686"/>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c r="B18" s="791"/>
      <c r="C18" s="727"/>
      <c r="D18" s="858" t="s">
        <v>99</v>
      </c>
      <c r="E18" s="1634" t="str">
        <f>IF(ISBLANK(B_InstallationDescription!E28),"",B_InstallationDescription!E28)</f>
        <v/>
      </c>
      <c r="F18" s="1685"/>
      <c r="G18" s="1685"/>
      <c r="H18" s="1685"/>
      <c r="I18" s="1686"/>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c r="B19" s="791"/>
      <c r="C19" s="727"/>
      <c r="D19" s="858" t="s">
        <v>100</v>
      </c>
      <c r="E19" s="1634" t="str">
        <f>IF(ISBLANK(B_InstallationDescription!E29),"",B_InstallationDescription!E29)</f>
        <v/>
      </c>
      <c r="F19" s="1685"/>
      <c r="G19" s="1685"/>
      <c r="H19" s="1685"/>
      <c r="I19" s="1686"/>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c r="B20" s="791"/>
      <c r="C20" s="727"/>
      <c r="D20" s="858" t="s">
        <v>101</v>
      </c>
      <c r="E20" s="1634" t="str">
        <f>IF(ISBLANK(B_InstallationDescription!E30),"",B_InstallationDescription!E30)</f>
        <v/>
      </c>
      <c r="F20" s="1685"/>
      <c r="G20" s="1685"/>
      <c r="H20" s="1685"/>
      <c r="I20" s="1686"/>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c r="B21" s="791"/>
      <c r="C21" s="206"/>
      <c r="D21" s="206"/>
      <c r="E21" s="206"/>
      <c r="F21" s="206"/>
      <c r="G21" s="206"/>
      <c r="H21" s="206"/>
      <c r="I21" s="206"/>
      <c r="J21" s="206"/>
      <c r="K21" s="206"/>
      <c r="L21" s="206"/>
      <c r="M21" s="734"/>
    </row>
    <row r="22" spans="1:29">
      <c r="B22" s="791"/>
      <c r="C22" s="206"/>
      <c r="D22" s="206"/>
      <c r="E22" s="206"/>
      <c r="F22" s="206"/>
      <c r="G22" s="206"/>
      <c r="H22" s="206"/>
      <c r="I22" s="206"/>
      <c r="J22" s="906" t="str">
        <f>Translations!$B$781</f>
        <v>Papildoma informacija:</v>
      </c>
      <c r="K22" s="206"/>
      <c r="L22" s="206"/>
      <c r="M22" s="734"/>
    </row>
    <row r="23" spans="1:29" ht="51">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c r="B24" s="791"/>
      <c r="C24" s="206"/>
      <c r="D24" s="206"/>
      <c r="E24" s="206"/>
      <c r="F24" s="206"/>
      <c r="G24" s="206"/>
      <c r="H24" s="867" t="s">
        <v>260</v>
      </c>
      <c r="I24" s="867" t="s">
        <v>282</v>
      </c>
      <c r="J24" s="909" t="s">
        <v>489</v>
      </c>
      <c r="K24" s="866" t="s">
        <v>282</v>
      </c>
      <c r="L24" s="866" t="s">
        <v>489</v>
      </c>
      <c r="M24" s="734"/>
      <c r="T24" s="56" t="s">
        <v>478</v>
      </c>
      <c r="U24" s="56" t="s">
        <v>479</v>
      </c>
      <c r="V24" s="56" t="s">
        <v>480</v>
      </c>
      <c r="W24" s="56" t="s">
        <v>481</v>
      </c>
      <c r="X24" s="56" t="s">
        <v>482</v>
      </c>
    </row>
    <row r="25" spans="1:29" s="28" customFormat="1" ht="18" customHeight="1">
      <c r="A25" s="58"/>
      <c r="B25" s="790"/>
      <c r="C25" s="166"/>
      <c r="D25" s="166"/>
      <c r="E25" s="862" t="str">
        <f>Translations!$B$580</f>
        <v>Sukėlikliai</v>
      </c>
      <c r="F25" s="863"/>
      <c r="G25" s="863"/>
      <c r="H25" s="1257">
        <f>IF(COUNT(H26:H29)&gt;0,SUM(H26:H29),"")</f>
        <v>26608.227006820198</v>
      </c>
      <c r="I25" s="1276">
        <f>IF(COUNT(I26:I29)&gt;0,SUM(I26:I29),"")</f>
        <v>481.77126573999999</v>
      </c>
      <c r="J25" s="1262">
        <f>IF(COUNT(J26:J29)&gt;0,SUM(J26:J29),"")</f>
        <v>3851665.3000000003</v>
      </c>
      <c r="K25" s="1272">
        <f>IF(COUNT(K26:K29)&gt;0,SUM(K26:K29),"")</f>
        <v>287.38539999999995</v>
      </c>
      <c r="L25" s="1268">
        <f>IF(COUNT(L26:L29)&gt;0,SUM(L26:L29),"")</f>
        <v>0</v>
      </c>
      <c r="M25" s="744"/>
      <c r="N25" s="58"/>
      <c r="O25" s="58"/>
      <c r="P25" s="58"/>
      <c r="Q25" s="58"/>
      <c r="R25" s="869"/>
      <c r="S25" s="869"/>
      <c r="T25" s="890">
        <f>IF(COUNT(T26:T29)&gt;0,SUM(T26:T29),"")</f>
        <v>26608.227006820198</v>
      </c>
      <c r="U25" s="891">
        <f>IF(COUNT(U26:U29)&gt;0,SUM(U26:U29),"")</f>
        <v>481.77126573999999</v>
      </c>
      <c r="V25" s="892">
        <f>IF(COUNT(V26:V29)&gt;0,SUM(V26:V29),"")</f>
        <v>3851665.3000000003</v>
      </c>
      <c r="W25" s="893">
        <f>IF(COUNT(W26:W29)&gt;0,SUM(W26:W29),"")</f>
        <v>287.38539999999995</v>
      </c>
      <c r="X25" s="892">
        <f>IF(COUNT(X26:X29)&gt;0,SUM(X26:X29),"")</f>
        <v>0</v>
      </c>
      <c r="Y25" s="58"/>
      <c r="Z25" s="58"/>
      <c r="AA25" s="58"/>
      <c r="AB25" s="58"/>
      <c r="AC25" s="58"/>
    </row>
    <row r="26" spans="1:29" s="28" customFormat="1">
      <c r="A26" s="58"/>
      <c r="B26" s="790"/>
      <c r="C26" s="166"/>
      <c r="D26" s="166"/>
      <c r="E26" s="166"/>
      <c r="F26" s="143" t="str">
        <f>EUconst_Fuel</f>
        <v>Degimas</v>
      </c>
      <c r="G26" s="143"/>
      <c r="H26" s="1258">
        <f t="shared" ref="H26:L28" si="0">IF(SUM($T26:$X26)=0,"",T26)</f>
        <v>26608.227006820198</v>
      </c>
      <c r="I26" s="1277">
        <f t="shared" si="0"/>
        <v>481.77126573999999</v>
      </c>
      <c r="J26" s="1263">
        <f t="shared" si="0"/>
        <v>3851665.3000000003</v>
      </c>
      <c r="K26" s="1273">
        <f t="shared" si="0"/>
        <v>287.38539999999995</v>
      </c>
      <c r="L26" s="1269">
        <f t="shared" si="0"/>
        <v>0</v>
      </c>
      <c r="M26" s="744"/>
      <c r="N26" s="58"/>
      <c r="O26" s="58"/>
      <c r="P26" s="58"/>
      <c r="Q26" s="58"/>
      <c r="R26" s="412" t="str">
        <f>EUconst_Fuel</f>
        <v>Degimas</v>
      </c>
      <c r="S26" s="412"/>
      <c r="T26" s="894">
        <f>SUMIF(J_Accounting!$D:$D,$R26,J_Accounting!AU:AU)</f>
        <v>26608.227006820198</v>
      </c>
      <c r="U26" s="895">
        <f>SUMIF(J_Accounting!$D:$D,$R26,J_Accounting!AX:AX)</f>
        <v>481.77126573999999</v>
      </c>
      <c r="V26" s="896">
        <f>SUMIF(J_Accounting!$D:$D,$R26,J_Accounting!AV:AV)</f>
        <v>3851665.3000000003</v>
      </c>
      <c r="W26" s="897">
        <f>SUMIF(J_Accounting!$D:$D,$R26,J_Accounting!AY:AY)</f>
        <v>287.38539999999995</v>
      </c>
      <c r="X26" s="896">
        <f>SUMIF(J_Accounting!$D:$D,$R26,J_Accounting!AW:AW)</f>
        <v>0</v>
      </c>
      <c r="Y26" s="58"/>
      <c r="Z26" s="58"/>
      <c r="AA26" s="58"/>
      <c r="AB26" s="58"/>
      <c r="AC26" s="58"/>
    </row>
    <row r="27" spans="1:29" s="28" customFormat="1">
      <c r="A27" s="58"/>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8"/>
      <c r="O27" s="58"/>
      <c r="P27" s="58"/>
      <c r="Q27" s="58"/>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8"/>
      <c r="Z27" s="58"/>
      <c r="AA27" s="58"/>
      <c r="AB27" s="58"/>
      <c r="AC27" s="58"/>
    </row>
    <row r="28" spans="1:29" s="28" customFormat="1">
      <c r="A28" s="58"/>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8"/>
      <c r="O28" s="58"/>
      <c r="P28" s="58"/>
      <c r="Q28" s="58"/>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8"/>
      <c r="Z28" s="58"/>
      <c r="AA28" s="58"/>
      <c r="AB28" s="58"/>
      <c r="AC28" s="58"/>
    </row>
    <row r="29" spans="1:29" s="28" customFormat="1">
      <c r="A29" s="58"/>
      <c r="B29" s="790"/>
      <c r="C29" s="166"/>
      <c r="D29" s="166"/>
      <c r="E29" s="166"/>
      <c r="F29" s="143" t="str">
        <f>EUconst_ProcessPFC</f>
        <v>Išmetamas PFC kiekis</v>
      </c>
      <c r="G29" s="143"/>
      <c r="H29" s="1260" t="str">
        <f>IF(SUM($T29:$X29)=0,"",T29)</f>
        <v/>
      </c>
      <c r="I29" s="1279" t="str">
        <f>IF(SUM($T29:$X29)=0,"",U29)</f>
        <v/>
      </c>
      <c r="J29" s="1265"/>
      <c r="K29" s="1275"/>
      <c r="L29" s="1271"/>
      <c r="M29" s="744"/>
      <c r="N29" s="908"/>
      <c r="O29" s="58"/>
      <c r="P29" s="58"/>
      <c r="Q29" s="58"/>
      <c r="R29" s="412" t="str">
        <f>EUconst_ProcessPFC</f>
        <v>Išmetamas PFC kiekis</v>
      </c>
      <c r="S29" s="412"/>
      <c r="T29" s="894">
        <f>SUMIF(J_Accounting!$D:$D,$R29,J_Accounting!AU:AU)</f>
        <v>0</v>
      </c>
      <c r="U29" s="895"/>
      <c r="V29" s="896"/>
      <c r="W29" s="897"/>
      <c r="X29" s="896"/>
      <c r="Y29" s="58"/>
      <c r="Z29" s="58"/>
      <c r="AA29" s="58"/>
      <c r="AB29" s="58"/>
      <c r="AC29" s="58"/>
    </row>
    <row r="30" spans="1:29" s="28" customFormat="1" ht="5.0999999999999996" customHeight="1">
      <c r="A30" s="58"/>
      <c r="B30" s="790"/>
      <c r="C30" s="166"/>
      <c r="D30" s="166"/>
      <c r="E30" s="166"/>
      <c r="F30" s="166"/>
      <c r="G30" s="166"/>
      <c r="H30" s="166"/>
      <c r="I30" s="166"/>
      <c r="J30" s="166"/>
      <c r="K30" s="166"/>
      <c r="L30" s="166"/>
      <c r="M30" s="744"/>
      <c r="N30" s="908"/>
      <c r="O30" s="58"/>
      <c r="P30" s="58"/>
      <c r="Q30" s="58"/>
      <c r="R30" s="412"/>
      <c r="S30" s="412"/>
      <c r="T30" s="894"/>
      <c r="U30" s="895"/>
      <c r="V30" s="896"/>
      <c r="W30" s="897"/>
      <c r="X30" s="896"/>
      <c r="Y30" s="58"/>
      <c r="Z30" s="58"/>
      <c r="AA30" s="58"/>
      <c r="AB30" s="58"/>
      <c r="AC30" s="58"/>
    </row>
    <row r="31" spans="1:29" s="28" customFormat="1" ht="18" customHeight="1">
      <c r="A31" s="58"/>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8"/>
      <c r="O31" s="58"/>
      <c r="P31" s="58"/>
      <c r="Q31" s="58"/>
      <c r="R31" s="869"/>
      <c r="S31" s="869"/>
      <c r="T31" s="890">
        <f>IF(COUNT(T32:T34)&gt;0,SUM(T32:T34),"")</f>
        <v>0</v>
      </c>
      <c r="U31" s="891">
        <f>IF(COUNT(U32:U34)&gt;0,SUM(U32:U34),"")</f>
        <v>0</v>
      </c>
      <c r="V31" s="892">
        <f>IF(COUNT(V32:V34)&gt;0,SUM(V32:V34),"")</f>
        <v>0</v>
      </c>
      <c r="W31" s="893">
        <f>IF(COUNT(W32:W34)&gt;0,SUM(W32:W34),"")</f>
        <v>0</v>
      </c>
      <c r="X31" s="892">
        <f>IF(COUNT(X32:X34)&gt;0,SUM(X32:X34),"")</f>
        <v>0</v>
      </c>
      <c r="Y31" s="58"/>
      <c r="Z31" s="58"/>
      <c r="AA31" s="58"/>
      <c r="AB31" s="58"/>
      <c r="AC31" s="58"/>
    </row>
    <row r="32" spans="1:29" s="28" customFormat="1">
      <c r="A32" s="58"/>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8"/>
      <c r="O32" s="58"/>
      <c r="P32" s="58"/>
      <c r="Q32" s="58"/>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8"/>
      <c r="Z32" s="58"/>
      <c r="AA32" s="58"/>
      <c r="AB32" s="58"/>
      <c r="AC32" s="58"/>
    </row>
    <row r="33" spans="1:29" s="28" customFormat="1">
      <c r="A33" s="58"/>
      <c r="B33" s="790"/>
      <c r="C33" s="166"/>
      <c r="D33" s="166"/>
      <c r="E33" s="166"/>
      <c r="F33" s="143" t="str">
        <f>INDEX(EUconst_CEMSType,2)</f>
        <v>N2O</v>
      </c>
      <c r="G33" s="143"/>
      <c r="H33" s="1259" t="str">
        <f t="shared" si="1"/>
        <v/>
      </c>
      <c r="I33" s="1278" t="str">
        <f t="shared" si="1"/>
        <v/>
      </c>
      <c r="J33" s="1264"/>
      <c r="K33" s="1274"/>
      <c r="L33" s="1270"/>
      <c r="M33" s="744"/>
      <c r="N33" s="58"/>
      <c r="O33" s="58"/>
      <c r="P33" s="58"/>
      <c r="Q33" s="58"/>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8"/>
      <c r="Z33" s="58"/>
      <c r="AA33" s="58"/>
      <c r="AB33" s="58"/>
      <c r="AC33" s="58"/>
    </row>
    <row r="34" spans="1:29" s="28" customFormat="1">
      <c r="A34" s="58"/>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8"/>
      <c r="O34" s="58"/>
      <c r="P34" s="58"/>
      <c r="Q34" s="58"/>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8"/>
      <c r="Z34" s="58"/>
      <c r="AA34" s="58"/>
      <c r="AB34" s="58"/>
      <c r="AC34" s="58"/>
    </row>
    <row r="35" spans="1:29" s="28" customFormat="1" ht="5.0999999999999996" customHeight="1">
      <c r="A35" s="58"/>
      <c r="B35" s="790"/>
      <c r="C35" s="166"/>
      <c r="D35" s="166"/>
      <c r="E35" s="166"/>
      <c r="F35" s="166"/>
      <c r="G35" s="166"/>
      <c r="H35" s="166"/>
      <c r="I35" s="166"/>
      <c r="J35" s="166"/>
      <c r="K35" s="166"/>
      <c r="L35" s="166"/>
      <c r="M35" s="744"/>
      <c r="N35" s="58"/>
      <c r="O35" s="58"/>
      <c r="P35" s="58"/>
      <c r="Q35" s="58"/>
      <c r="R35" s="412"/>
      <c r="S35" s="412"/>
      <c r="T35" s="894"/>
      <c r="U35" s="895"/>
      <c r="V35" s="896"/>
      <c r="W35" s="897"/>
      <c r="X35" s="896"/>
      <c r="Y35" s="58"/>
      <c r="Z35" s="58"/>
      <c r="AA35" s="58"/>
      <c r="AB35" s="58"/>
      <c r="AC35" s="58"/>
    </row>
    <row r="36" spans="1:29" s="28" customFormat="1" ht="18" customHeight="1">
      <c r="A36" s="58"/>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8"/>
      <c r="O36" s="58"/>
      <c r="P36" s="58"/>
      <c r="Q36" s="58"/>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8"/>
      <c r="Z36" s="58"/>
      <c r="AA36" s="58"/>
      <c r="AB36" s="58"/>
      <c r="AC36" s="58"/>
    </row>
    <row r="37" spans="1:29" s="28" customFormat="1" ht="5.0999999999999996" customHeight="1" thickBot="1">
      <c r="A37" s="58"/>
      <c r="B37" s="790"/>
      <c r="C37" s="166"/>
      <c r="D37" s="166"/>
      <c r="E37" s="166"/>
      <c r="F37" s="166"/>
      <c r="G37" s="166"/>
      <c r="H37" s="166"/>
      <c r="I37" s="166"/>
      <c r="J37" s="166"/>
      <c r="K37" s="166"/>
      <c r="L37" s="166"/>
      <c r="M37" s="744"/>
      <c r="N37" s="58"/>
      <c r="O37" s="58"/>
      <c r="P37" s="58"/>
      <c r="Q37" s="58"/>
      <c r="R37" s="412"/>
      <c r="S37" s="412"/>
      <c r="T37" s="894"/>
      <c r="U37" s="895"/>
      <c r="V37" s="896"/>
      <c r="W37" s="897"/>
      <c r="X37" s="896"/>
      <c r="Y37" s="58"/>
      <c r="Z37" s="58"/>
      <c r="AA37" s="58"/>
      <c r="AB37" s="58"/>
      <c r="AC37" s="58"/>
    </row>
    <row r="38" spans="1:29" s="28" customFormat="1" ht="20.100000000000001" customHeight="1" thickBot="1">
      <c r="A38" s="58"/>
      <c r="B38" s="790"/>
      <c r="C38" s="166"/>
      <c r="D38" s="166"/>
      <c r="E38" s="910" t="str">
        <f>Translations!$B$787</f>
        <v>Suma</v>
      </c>
      <c r="F38" s="911"/>
      <c r="G38" s="911"/>
      <c r="H38" s="1261">
        <f>IF(COUNT(H25:H36)&gt;0,SUM(H25,H31,H36),"")</f>
        <v>26608.227006820198</v>
      </c>
      <c r="I38" s="1281">
        <f>IF(COUNT(I25:I36)&gt;0,SUM(I25,I31,I36),"")</f>
        <v>481.77126573999999</v>
      </c>
      <c r="J38" s="1266">
        <f>IF(COUNT(J25:J36)&gt;0,SUM(J25,J31,J36),"")</f>
        <v>3851665.3000000003</v>
      </c>
      <c r="K38" s="1280">
        <f>IF(COUNT(K25:K36)&gt;0,SUM(K25,K31,K36),"")</f>
        <v>287.38539999999995</v>
      </c>
      <c r="L38" s="1267">
        <f>IF(COUNT(L25:L36)&gt;0,SUM(L25,L31,L36),"")</f>
        <v>0</v>
      </c>
      <c r="M38" s="744"/>
      <c r="N38" s="58"/>
      <c r="O38" s="58"/>
      <c r="P38" s="58"/>
      <c r="Q38" s="58"/>
      <c r="R38" s="58"/>
      <c r="S38" s="58"/>
      <c r="T38" s="58"/>
      <c r="U38" s="58"/>
      <c r="V38" s="58"/>
      <c r="W38" s="58"/>
      <c r="X38" s="58"/>
      <c r="Y38" s="58"/>
      <c r="Z38" s="58"/>
      <c r="AA38" s="58"/>
      <c r="AB38" s="58"/>
      <c r="AC38" s="58"/>
    </row>
    <row r="39" spans="1:29" ht="25.5" customHeight="1" thickBot="1">
      <c r="B39" s="791"/>
      <c r="C39" s="206"/>
      <c r="D39" s="206"/>
      <c r="E39" s="206"/>
      <c r="F39" s="206"/>
      <c r="G39" s="206"/>
      <c r="H39" s="206"/>
      <c r="I39" s="206"/>
      <c r="J39" s="206"/>
      <c r="K39" s="206"/>
      <c r="L39" s="206"/>
      <c r="M39" s="734"/>
    </row>
    <row r="40" spans="1:29" ht="25.5" customHeight="1" thickBot="1">
      <c r="B40" s="791"/>
      <c r="C40" s="206"/>
      <c r="D40" s="206"/>
      <c r="E40" s="971" t="str">
        <f>Translations!$B$788</f>
        <v>Bendras įrenginio išmetamųjų ŠESD kiekis:</v>
      </c>
      <c r="F40" s="206"/>
      <c r="G40" s="206"/>
      <c r="H40" s="206"/>
      <c r="I40" s="206"/>
      <c r="J40" s="1702">
        <f>ROUND(SUM(H25,H31,H36),0)</f>
        <v>26608</v>
      </c>
      <c r="K40" s="1703"/>
      <c r="L40" s="972" t="s">
        <v>483</v>
      </c>
      <c r="M40" s="734"/>
    </row>
    <row r="41" spans="1:29" ht="12.75" customHeight="1">
      <c r="B41" s="791"/>
      <c r="C41" s="206"/>
      <c r="D41" s="206"/>
      <c r="E41" s="206"/>
      <c r="F41" s="206"/>
      <c r="G41" s="206"/>
      <c r="H41" s="206"/>
      <c r="I41" s="206"/>
      <c r="J41" s="206"/>
      <c r="K41" s="206"/>
      <c r="L41" s="887" t="str">
        <f>Translations!$B$789</f>
        <v>Tai veiklos vykdytojo atsisakytinų apyvartinių taršos leidimų kiekis.</v>
      </c>
      <c r="M41" s="734"/>
      <c r="N41" s="55"/>
    </row>
    <row r="42" spans="1:29">
      <c r="B42" s="791"/>
      <c r="C42" s="206"/>
      <c r="D42" s="206"/>
      <c r="E42" s="206"/>
      <c r="F42" s="206"/>
      <c r="G42" s="206"/>
      <c r="H42" s="206"/>
      <c r="I42" s="206"/>
      <c r="J42" s="206"/>
      <c r="K42" s="206"/>
      <c r="L42" s="206"/>
      <c r="M42" s="734"/>
    </row>
    <row r="43" spans="1:29" ht="15">
      <c r="B43" s="791"/>
      <c r="C43" s="206"/>
      <c r="D43" s="206"/>
      <c r="E43" s="973" t="str">
        <f>Translations!$B$790</f>
        <v>Papildoma informacija: bendras deginant (tvarią) biomasę išmestas ŠESD kiekis</v>
      </c>
      <c r="F43" s="206"/>
      <c r="G43" s="206"/>
      <c r="H43" s="206"/>
      <c r="I43" s="206"/>
      <c r="J43" s="1692">
        <f>ROUND(SUM(J25,J31,J36),0)</f>
        <v>3851665</v>
      </c>
      <c r="K43" s="1693"/>
      <c r="L43" s="974" t="s">
        <v>483</v>
      </c>
      <c r="M43" s="734"/>
    </row>
    <row r="44" spans="1:29" ht="5.0999999999999996" customHeight="1">
      <c r="B44" s="791"/>
      <c r="C44" s="206"/>
      <c r="D44" s="206"/>
      <c r="E44" s="206"/>
      <c r="F44" s="206"/>
      <c r="G44" s="206"/>
      <c r="H44" s="206"/>
      <c r="I44" s="206"/>
      <c r="J44" s="206"/>
      <c r="K44" s="206"/>
      <c r="L44" s="206"/>
      <c r="M44" s="734"/>
    </row>
    <row r="45" spans="1:29" ht="15">
      <c r="B45" s="791"/>
      <c r="C45" s="206"/>
      <c r="D45" s="206"/>
      <c r="E45" s="973" t="str">
        <f>Translations!$B$791</f>
        <v>Papildoma informacija: bendras deginant netvarią biomasę išmestas ŠESD kiekis</v>
      </c>
      <c r="F45" s="206"/>
      <c r="G45" s="206"/>
      <c r="H45" s="206"/>
      <c r="I45" s="206"/>
      <c r="J45" s="1692">
        <f>ROUND(SUM(L25,L31,L36),0)</f>
        <v>0</v>
      </c>
      <c r="K45" s="1693"/>
      <c r="L45" s="974" t="s">
        <v>483</v>
      </c>
      <c r="M45" s="734"/>
    </row>
    <row r="46" spans="1:29" ht="5.0999999999999996" customHeight="1">
      <c r="B46" s="791"/>
      <c r="C46" s="206"/>
      <c r="D46" s="206"/>
      <c r="E46" s="206"/>
      <c r="F46" s="206"/>
      <c r="G46" s="206"/>
      <c r="H46" s="206"/>
      <c r="I46" s="206"/>
      <c r="J46" s="206"/>
      <c r="K46" s="206"/>
      <c r="L46" s="206"/>
      <c r="M46" s="734"/>
    </row>
    <row r="47" spans="1:29" ht="15">
      <c r="B47" s="791"/>
      <c r="C47" s="206"/>
      <c r="D47" s="206"/>
      <c r="E47" s="973" t="str">
        <f>Translations!$B$792</f>
        <v>Papildoma informacija: perduotas CO2 kiekis</v>
      </c>
      <c r="F47" s="206"/>
      <c r="G47" s="206"/>
      <c r="H47" s="206"/>
      <c r="I47" s="206"/>
      <c r="J47" s="206"/>
      <c r="K47" s="206"/>
      <c r="L47" s="206"/>
      <c r="M47" s="1108"/>
    </row>
    <row r="48" spans="1:29" ht="5.0999999999999996" customHeight="1">
      <c r="B48" s="791"/>
      <c r="C48" s="206"/>
      <c r="D48" s="206"/>
      <c r="E48" s="206"/>
      <c r="F48" s="206"/>
      <c r="G48" s="206"/>
      <c r="H48" s="206"/>
      <c r="I48" s="206"/>
      <c r="J48" s="206"/>
      <c r="K48" s="206"/>
      <c r="L48" s="206"/>
      <c r="M48" s="734"/>
    </row>
    <row r="49" spans="2:25">
      <c r="B49" s="791"/>
      <c r="C49" s="206"/>
      <c r="D49" s="206"/>
      <c r="E49" s="1109" t="str">
        <f>Translations!$B$793</f>
        <v>Įrenginių perduotas CO2 gautas iš</v>
      </c>
      <c r="F49" s="1110"/>
      <c r="G49" s="1110"/>
      <c r="H49" s="1110"/>
      <c r="I49" s="1110"/>
      <c r="J49" s="1110"/>
      <c r="K49" s="1110"/>
      <c r="L49" s="1110"/>
      <c r="M49" s="734"/>
    </row>
    <row r="50" spans="2:25">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c r="B51" s="791"/>
      <c r="C51" s="206"/>
      <c r="D51" s="206"/>
      <c r="E51" s="1704" t="str">
        <f>IF(R51=0,"",R51)</f>
        <v/>
      </c>
      <c r="F51" s="1706"/>
      <c r="G51" s="1705"/>
      <c r="H51" s="1704" t="str">
        <f t="shared" ref="H51:H60" si="2">IF(U51=0,"",U51)</f>
        <v/>
      </c>
      <c r="I51" s="1706"/>
      <c r="J51" s="1705"/>
      <c r="K51" s="1704" t="str">
        <f t="shared" ref="K51:K60" si="3">IF(X51=0,"",X51)</f>
        <v/>
      </c>
      <c r="L51" s="1705"/>
      <c r="M51" s="734"/>
      <c r="R51" s="1707"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08"/>
      <c r="T51" s="1709"/>
      <c r="U51" s="1707"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08"/>
      <c r="W51" s="1709"/>
      <c r="X51" s="1707"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9"/>
    </row>
    <row r="52" spans="2:25">
      <c r="B52" s="791"/>
      <c r="C52" s="206"/>
      <c r="D52" s="206"/>
      <c r="E52" s="1704" t="str">
        <f t="shared" ref="E52:E60" si="4">IF(R52=0,"",R52)</f>
        <v/>
      </c>
      <c r="F52" s="1706"/>
      <c r="G52" s="1705"/>
      <c r="H52" s="1704" t="str">
        <f t="shared" si="2"/>
        <v/>
      </c>
      <c r="I52" s="1706"/>
      <c r="J52" s="1705"/>
      <c r="K52" s="1704" t="str">
        <f t="shared" si="3"/>
        <v/>
      </c>
      <c r="L52" s="1705"/>
      <c r="M52" s="734"/>
      <c r="R52" s="1707"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08"/>
      <c r="T52" s="1709"/>
      <c r="U52" s="1707"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08"/>
      <c r="W52" s="1709"/>
      <c r="X52" s="1707"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9"/>
    </row>
    <row r="53" spans="2:25">
      <c r="B53" s="791"/>
      <c r="C53" s="206"/>
      <c r="D53" s="206"/>
      <c r="E53" s="1704" t="str">
        <f t="shared" si="4"/>
        <v/>
      </c>
      <c r="F53" s="1706"/>
      <c r="G53" s="1705"/>
      <c r="H53" s="1704" t="str">
        <f t="shared" si="2"/>
        <v/>
      </c>
      <c r="I53" s="1706"/>
      <c r="J53" s="1705"/>
      <c r="K53" s="1704" t="str">
        <f t="shared" si="3"/>
        <v/>
      </c>
      <c r="L53" s="1705"/>
      <c r="M53" s="734"/>
      <c r="R53" s="1707"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08"/>
      <c r="T53" s="1709"/>
      <c r="U53" s="1707"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08"/>
      <c r="W53" s="1709"/>
      <c r="X53" s="1707"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9"/>
    </row>
    <row r="54" spans="2:25">
      <c r="B54" s="791"/>
      <c r="C54" s="206"/>
      <c r="D54" s="206"/>
      <c r="E54" s="1704" t="str">
        <f t="shared" si="4"/>
        <v/>
      </c>
      <c r="F54" s="1706"/>
      <c r="G54" s="1705"/>
      <c r="H54" s="1704" t="str">
        <f t="shared" si="2"/>
        <v/>
      </c>
      <c r="I54" s="1706"/>
      <c r="J54" s="1705"/>
      <c r="K54" s="1704" t="str">
        <f t="shared" si="3"/>
        <v/>
      </c>
      <c r="L54" s="1705"/>
      <c r="M54" s="734"/>
      <c r="R54" s="1707"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08"/>
      <c r="T54" s="1709"/>
      <c r="U54" s="1707"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08"/>
      <c r="W54" s="1709"/>
      <c r="X54" s="1707"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9"/>
    </row>
    <row r="55" spans="2:25">
      <c r="B55" s="791"/>
      <c r="C55" s="206"/>
      <c r="D55" s="206"/>
      <c r="E55" s="1704" t="str">
        <f t="shared" si="4"/>
        <v/>
      </c>
      <c r="F55" s="1706"/>
      <c r="G55" s="1705"/>
      <c r="H55" s="1704" t="str">
        <f t="shared" si="2"/>
        <v/>
      </c>
      <c r="I55" s="1706"/>
      <c r="J55" s="1705"/>
      <c r="K55" s="1704" t="str">
        <f t="shared" si="3"/>
        <v/>
      </c>
      <c r="L55" s="1705"/>
      <c r="M55" s="734"/>
      <c r="R55" s="1707"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08"/>
      <c r="T55" s="1709"/>
      <c r="U55" s="1707"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08"/>
      <c r="W55" s="1709"/>
      <c r="X55" s="1707"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9"/>
    </row>
    <row r="56" spans="2:25">
      <c r="B56" s="791"/>
      <c r="C56" s="206"/>
      <c r="D56" s="206"/>
      <c r="E56" s="1704" t="str">
        <f t="shared" si="4"/>
        <v/>
      </c>
      <c r="F56" s="1706"/>
      <c r="G56" s="1705"/>
      <c r="H56" s="1704" t="str">
        <f t="shared" si="2"/>
        <v/>
      </c>
      <c r="I56" s="1706"/>
      <c r="J56" s="1705"/>
      <c r="K56" s="1704" t="str">
        <f t="shared" si="3"/>
        <v/>
      </c>
      <c r="L56" s="1705"/>
      <c r="M56" s="734"/>
      <c r="R56" s="1707"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08"/>
      <c r="T56" s="1709"/>
      <c r="U56" s="1707"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08"/>
      <c r="W56" s="1709"/>
      <c r="X56" s="1707"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9"/>
    </row>
    <row r="57" spans="2:25">
      <c r="B57" s="791"/>
      <c r="C57" s="206"/>
      <c r="D57" s="206"/>
      <c r="E57" s="1704" t="str">
        <f t="shared" si="4"/>
        <v/>
      </c>
      <c r="F57" s="1706"/>
      <c r="G57" s="1705"/>
      <c r="H57" s="1704" t="str">
        <f t="shared" si="2"/>
        <v/>
      </c>
      <c r="I57" s="1706"/>
      <c r="J57" s="1705"/>
      <c r="K57" s="1704" t="str">
        <f t="shared" si="3"/>
        <v/>
      </c>
      <c r="L57" s="1705"/>
      <c r="M57" s="734"/>
      <c r="R57" s="1707"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08"/>
      <c r="T57" s="1709"/>
      <c r="U57" s="1707"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08"/>
      <c r="W57" s="1709"/>
      <c r="X57" s="1707"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9"/>
    </row>
    <row r="58" spans="2:25">
      <c r="B58" s="791"/>
      <c r="C58" s="206"/>
      <c r="D58" s="206"/>
      <c r="E58" s="1704" t="str">
        <f t="shared" si="4"/>
        <v/>
      </c>
      <c r="F58" s="1706"/>
      <c r="G58" s="1705"/>
      <c r="H58" s="1704" t="str">
        <f t="shared" si="2"/>
        <v/>
      </c>
      <c r="I58" s="1706"/>
      <c r="J58" s="1705"/>
      <c r="K58" s="1704" t="str">
        <f t="shared" si="3"/>
        <v/>
      </c>
      <c r="L58" s="1705"/>
      <c r="M58" s="734"/>
      <c r="R58" s="1707"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08"/>
      <c r="T58" s="1709"/>
      <c r="U58" s="1707"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08"/>
      <c r="W58" s="1709"/>
      <c r="X58" s="1707"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9"/>
    </row>
    <row r="59" spans="2:25">
      <c r="B59" s="791"/>
      <c r="C59" s="206"/>
      <c r="D59" s="206"/>
      <c r="E59" s="1704" t="str">
        <f t="shared" si="4"/>
        <v/>
      </c>
      <c r="F59" s="1706"/>
      <c r="G59" s="1705"/>
      <c r="H59" s="1704" t="str">
        <f t="shared" si="2"/>
        <v/>
      </c>
      <c r="I59" s="1706"/>
      <c r="J59" s="1705"/>
      <c r="K59" s="1704" t="str">
        <f t="shared" si="3"/>
        <v/>
      </c>
      <c r="L59" s="1705"/>
      <c r="M59" s="734"/>
      <c r="R59" s="1707"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08"/>
      <c r="T59" s="1709"/>
      <c r="U59" s="1707"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08"/>
      <c r="W59" s="1709"/>
      <c r="X59" s="1707"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9"/>
    </row>
    <row r="60" spans="2:25">
      <c r="B60" s="791"/>
      <c r="C60" s="206"/>
      <c r="D60" s="206"/>
      <c r="E60" s="1704" t="str">
        <f t="shared" si="4"/>
        <v/>
      </c>
      <c r="F60" s="1706"/>
      <c r="G60" s="1705"/>
      <c r="H60" s="1704" t="str">
        <f t="shared" si="2"/>
        <v/>
      </c>
      <c r="I60" s="1706"/>
      <c r="J60" s="1705"/>
      <c r="K60" s="1704" t="str">
        <f t="shared" si="3"/>
        <v/>
      </c>
      <c r="L60" s="1705"/>
      <c r="M60" s="734"/>
      <c r="R60" s="1707"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08"/>
      <c r="T60" s="1709"/>
      <c r="U60" s="1707"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08"/>
      <c r="W60" s="1709"/>
      <c r="X60" s="1707"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9"/>
    </row>
    <row r="61" spans="2:25" ht="5.0999999999999996" customHeight="1">
      <c r="B61" s="791"/>
      <c r="C61" s="206"/>
      <c r="D61" s="206"/>
      <c r="E61" s="1110"/>
      <c r="F61" s="1110"/>
      <c r="G61" s="1110"/>
      <c r="H61" s="1110"/>
      <c r="I61" s="1110"/>
      <c r="J61" s="1110"/>
      <c r="K61" s="1110"/>
      <c r="L61" s="1110"/>
      <c r="M61" s="734"/>
      <c r="R61" s="1096"/>
      <c r="S61" s="1096"/>
      <c r="T61" s="1096"/>
      <c r="U61" s="1096"/>
      <c r="V61" s="1096"/>
      <c r="W61" s="1096"/>
      <c r="X61" s="1096"/>
      <c r="Y61" s="1096"/>
    </row>
    <row r="62" spans="2:25">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c r="B64" s="791"/>
      <c r="C64" s="206"/>
      <c r="D64" s="206"/>
      <c r="E64" s="1704" t="str">
        <f>IF(R64=0,"",R64)</f>
        <v/>
      </c>
      <c r="F64" s="1706"/>
      <c r="G64" s="1705"/>
      <c r="H64" s="1704" t="str">
        <f t="shared" ref="H64:H73" si="5">IF(U64=0,"",U64)</f>
        <v/>
      </c>
      <c r="I64" s="1706"/>
      <c r="J64" s="1705"/>
      <c r="K64" s="1704" t="str">
        <f t="shared" ref="K64:K73" si="6">IF(X64=0,"",X64)</f>
        <v/>
      </c>
      <c r="L64" s="1705"/>
      <c r="M64" s="734"/>
      <c r="R64" s="1707"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08"/>
      <c r="T64" s="1709"/>
      <c r="U64" s="1707"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08"/>
      <c r="W64" s="1709"/>
      <c r="X64" s="1707"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9"/>
    </row>
    <row r="65" spans="2:25">
      <c r="B65" s="791"/>
      <c r="C65" s="206"/>
      <c r="D65" s="206"/>
      <c r="E65" s="1704" t="str">
        <f t="shared" ref="E65:E73" si="7">IF(R65=0,"",R65)</f>
        <v/>
      </c>
      <c r="F65" s="1706"/>
      <c r="G65" s="1705"/>
      <c r="H65" s="1704" t="str">
        <f t="shared" si="5"/>
        <v/>
      </c>
      <c r="I65" s="1706"/>
      <c r="J65" s="1705"/>
      <c r="K65" s="1704" t="str">
        <f t="shared" si="6"/>
        <v/>
      </c>
      <c r="L65" s="1705"/>
      <c r="M65" s="734"/>
      <c r="R65" s="1707"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08"/>
      <c r="T65" s="1709"/>
      <c r="U65" s="1707"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08"/>
      <c r="W65" s="1709"/>
      <c r="X65" s="1707"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9"/>
    </row>
    <row r="66" spans="2:25">
      <c r="B66" s="791"/>
      <c r="C66" s="206"/>
      <c r="D66" s="206"/>
      <c r="E66" s="1704" t="str">
        <f t="shared" si="7"/>
        <v/>
      </c>
      <c r="F66" s="1706"/>
      <c r="G66" s="1705"/>
      <c r="H66" s="1704" t="str">
        <f t="shared" si="5"/>
        <v/>
      </c>
      <c r="I66" s="1706"/>
      <c r="J66" s="1705"/>
      <c r="K66" s="1704" t="str">
        <f t="shared" si="6"/>
        <v/>
      </c>
      <c r="L66" s="1705"/>
      <c r="M66" s="734"/>
      <c r="R66" s="1707"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08"/>
      <c r="T66" s="1709"/>
      <c r="U66" s="1707"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08"/>
      <c r="W66" s="1709"/>
      <c r="X66" s="1707"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9"/>
    </row>
    <row r="67" spans="2:25">
      <c r="B67" s="791"/>
      <c r="C67" s="206"/>
      <c r="D67" s="206"/>
      <c r="E67" s="1704" t="str">
        <f t="shared" si="7"/>
        <v/>
      </c>
      <c r="F67" s="1706"/>
      <c r="G67" s="1705"/>
      <c r="H67" s="1704" t="str">
        <f t="shared" si="5"/>
        <v/>
      </c>
      <c r="I67" s="1706"/>
      <c r="J67" s="1705"/>
      <c r="K67" s="1704" t="str">
        <f t="shared" si="6"/>
        <v/>
      </c>
      <c r="L67" s="1705"/>
      <c r="M67" s="734"/>
      <c r="R67" s="1707"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08"/>
      <c r="T67" s="1709"/>
      <c r="U67" s="1707"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08"/>
      <c r="W67" s="1709"/>
      <c r="X67" s="1707"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9"/>
    </row>
    <row r="68" spans="2:25">
      <c r="B68" s="791"/>
      <c r="C68" s="206"/>
      <c r="D68" s="206"/>
      <c r="E68" s="1704" t="str">
        <f t="shared" si="7"/>
        <v/>
      </c>
      <c r="F68" s="1706"/>
      <c r="G68" s="1705"/>
      <c r="H68" s="1704" t="str">
        <f t="shared" si="5"/>
        <v/>
      </c>
      <c r="I68" s="1706"/>
      <c r="J68" s="1705"/>
      <c r="K68" s="1704" t="str">
        <f t="shared" si="6"/>
        <v/>
      </c>
      <c r="L68" s="1705"/>
      <c r="M68" s="734"/>
      <c r="R68" s="1707"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08"/>
      <c r="T68" s="1709"/>
      <c r="U68" s="1707"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08"/>
      <c r="W68" s="1709"/>
      <c r="X68" s="1707"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9"/>
    </row>
    <row r="69" spans="2:25">
      <c r="B69" s="791"/>
      <c r="C69" s="206"/>
      <c r="D69" s="206"/>
      <c r="E69" s="1704" t="str">
        <f t="shared" si="7"/>
        <v/>
      </c>
      <c r="F69" s="1706"/>
      <c r="G69" s="1705"/>
      <c r="H69" s="1704" t="str">
        <f t="shared" si="5"/>
        <v/>
      </c>
      <c r="I69" s="1706"/>
      <c r="J69" s="1705"/>
      <c r="K69" s="1704" t="str">
        <f t="shared" si="6"/>
        <v/>
      </c>
      <c r="L69" s="1705"/>
      <c r="M69" s="734"/>
      <c r="R69" s="1707"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08"/>
      <c r="T69" s="1709"/>
      <c r="U69" s="1707"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08"/>
      <c r="W69" s="1709"/>
      <c r="X69" s="1707"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9"/>
    </row>
    <row r="70" spans="2:25">
      <c r="B70" s="791"/>
      <c r="C70" s="206"/>
      <c r="D70" s="206"/>
      <c r="E70" s="1704" t="str">
        <f t="shared" si="7"/>
        <v/>
      </c>
      <c r="F70" s="1706"/>
      <c r="G70" s="1705"/>
      <c r="H70" s="1704" t="str">
        <f t="shared" si="5"/>
        <v/>
      </c>
      <c r="I70" s="1706"/>
      <c r="J70" s="1705"/>
      <c r="K70" s="1704" t="str">
        <f t="shared" si="6"/>
        <v/>
      </c>
      <c r="L70" s="1705"/>
      <c r="M70" s="734"/>
      <c r="R70" s="1707"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08"/>
      <c r="T70" s="1709"/>
      <c r="U70" s="1707"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08"/>
      <c r="W70" s="1709"/>
      <c r="X70" s="1707"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9"/>
    </row>
    <row r="71" spans="2:25">
      <c r="B71" s="791"/>
      <c r="C71" s="206"/>
      <c r="D71" s="206"/>
      <c r="E71" s="1704" t="str">
        <f t="shared" si="7"/>
        <v/>
      </c>
      <c r="F71" s="1706"/>
      <c r="G71" s="1705"/>
      <c r="H71" s="1704" t="str">
        <f t="shared" si="5"/>
        <v/>
      </c>
      <c r="I71" s="1706"/>
      <c r="J71" s="1705"/>
      <c r="K71" s="1704" t="str">
        <f t="shared" si="6"/>
        <v/>
      </c>
      <c r="L71" s="1705"/>
      <c r="M71" s="734"/>
      <c r="R71" s="1707"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08"/>
      <c r="T71" s="1709"/>
      <c r="U71" s="1707"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08"/>
      <c r="W71" s="1709"/>
      <c r="X71" s="1707"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9"/>
    </row>
    <row r="72" spans="2:25">
      <c r="B72" s="791"/>
      <c r="C72" s="206"/>
      <c r="D72" s="206"/>
      <c r="E72" s="1704" t="str">
        <f t="shared" si="7"/>
        <v/>
      </c>
      <c r="F72" s="1706"/>
      <c r="G72" s="1705"/>
      <c r="H72" s="1704" t="str">
        <f t="shared" si="5"/>
        <v/>
      </c>
      <c r="I72" s="1706"/>
      <c r="J72" s="1705"/>
      <c r="K72" s="1704" t="str">
        <f t="shared" si="6"/>
        <v/>
      </c>
      <c r="L72" s="1705"/>
      <c r="M72" s="734"/>
      <c r="R72" s="1707"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08"/>
      <c r="T72" s="1709"/>
      <c r="U72" s="1707"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08"/>
      <c r="W72" s="1709"/>
      <c r="X72" s="1707"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9"/>
    </row>
    <row r="73" spans="2:25">
      <c r="B73" s="791"/>
      <c r="C73" s="206"/>
      <c r="D73" s="206"/>
      <c r="E73" s="1704" t="str">
        <f t="shared" si="7"/>
        <v/>
      </c>
      <c r="F73" s="1706"/>
      <c r="G73" s="1705"/>
      <c r="H73" s="1704" t="str">
        <f t="shared" si="5"/>
        <v/>
      </c>
      <c r="I73" s="1706"/>
      <c r="J73" s="1705"/>
      <c r="K73" s="1704" t="str">
        <f t="shared" si="6"/>
        <v/>
      </c>
      <c r="L73" s="1705"/>
      <c r="M73" s="734"/>
      <c r="R73" s="1707"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08"/>
      <c r="T73" s="1709"/>
      <c r="U73" s="1707"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08"/>
      <c r="W73" s="1709"/>
      <c r="X73" s="1707"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9"/>
    </row>
    <row r="74" spans="2:25" ht="25.5" customHeight="1" thickBot="1">
      <c r="B74" s="796"/>
      <c r="C74" s="800"/>
      <c r="D74" s="800"/>
      <c r="E74" s="800"/>
      <c r="F74" s="800"/>
      <c r="G74" s="800"/>
      <c r="H74" s="800"/>
      <c r="I74" s="800"/>
      <c r="J74" s="800"/>
      <c r="K74" s="800"/>
      <c r="L74" s="800"/>
      <c r="M74" s="834"/>
      <c r="R74" s="1096"/>
      <c r="S74" s="1096"/>
      <c r="T74" s="1096"/>
      <c r="U74" s="1096"/>
      <c r="V74" s="1096"/>
      <c r="W74" s="1096"/>
      <c r="X74" s="1096"/>
      <c r="Y74" s="1096"/>
    </row>
  </sheetData>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sheetPr codeName="Tabelle21">
    <tabColor theme="2" tint="-0.499984740745262"/>
    <pageSetUpPr fitToPage="1"/>
  </sheetPr>
  <dimension ref="A1:BA109"/>
  <sheetViews>
    <sheetView topLeftCell="B1" zoomScale="70" zoomScaleNormal="70" workbookViewId="0">
      <pane ySplit="3" topLeftCell="A61" activePane="bottomLeft" state="frozen"/>
      <selection activeCell="D1" sqref="D1"/>
      <selection pane="bottomLeft" activeCell="J62" sqref="J62"/>
    </sheetView>
  </sheetViews>
  <sheetFormatPr defaultColWidth="11.42578125" defaultRowHeight="12.75"/>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6" customWidth="1"/>
    <col min="14" max="51" width="12.7109375" style="59" customWidth="1"/>
    <col min="52" max="52" width="9.140625" style="59" customWidth="1"/>
    <col min="53" max="53" width="11.42578125" style="59" hidden="1" customWidth="1"/>
    <col min="54" max="16384" width="11.42578125" style="59"/>
  </cols>
  <sheetData>
    <row r="1" spans="1:53" s="56" customFormat="1" hidden="1">
      <c r="A1" s="55" t="s">
        <v>87</v>
      </c>
      <c r="C1" s="75"/>
      <c r="M1" s="884"/>
      <c r="BA1" s="55" t="s">
        <v>87</v>
      </c>
    </row>
    <row r="2" spans="1:53" ht="50.1" customHeight="1" thickBot="1">
      <c r="D2" s="885" t="str">
        <f>Translations!$B$797</f>
        <v>Sukėlikliai (išskyrus išmetamą PFC kiekį)</v>
      </c>
      <c r="BA2" s="56"/>
    </row>
    <row r="3" spans="1:53" ht="50.1" customHeight="1" thickBot="1">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c r="C4" s="873">
        <v>1</v>
      </c>
      <c r="D4" s="874" t="str">
        <f>IF($BA4,"",INDEX(C_SourceStreams!$K$61:$K$2089,MATCH($C4,C_SourceStreams!$C$61:$C$2089,0)))</f>
        <v>Degimas</v>
      </c>
      <c r="E4" s="874" t="str">
        <f>IF($BA4,"",INDEX(C_SourceStreams!$E$61:$E$2089,MATCH($C4,C_SourceStreams!$C$61:$C$2089,0)))</f>
        <v>F1. Dujinis – Gamtinės dujos; Gamtinės dujos</v>
      </c>
      <c r="F4" s="875">
        <f>IF($BA4,"",INDEX(C_SourceStreams!BH$61:BH$2089,MATCH($C4,C_SourceStreams!$C$61:$C$2089,0)))</f>
        <v>14385.526</v>
      </c>
      <c r="G4" s="873" t="str">
        <f>IF($BA4,"",INDEX(C_SourceStreams!BI$61:BI$2089,MATCH($C4,C_SourceStreams!$C$61:$C$2089,0)))</f>
        <v>1 000 Nm3</v>
      </c>
      <c r="H4" s="875">
        <f>IF($BA4,"",INDEX(C_SourceStreams!BL$61:BL$2089,MATCH($C4,C_SourceStreams!$C$61:$C$2089,0)))</f>
        <v>33.49</v>
      </c>
      <c r="I4" s="873" t="str">
        <f>IF($BA4,"",INDEX(C_SourceStreams!BM$61:BM$2089,MATCH($C4,C_SourceStreams!$C$61:$C$2089,0)))</f>
        <v>GJ/1 000 Nm3</v>
      </c>
      <c r="J4" s="875">
        <f>IF($BA4,"",INDEX(C_SourceStreams!BJ$61:BJ$2089,MATCH($C4,C_SourceStreams!$C$61:$C$2089,0)))</f>
        <v>55.23</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26608.227006820198</v>
      </c>
      <c r="AV4" s="1039">
        <f>IF($BA4,"",INDEX(C_SourceStreams!BU$61:BU$2089,MATCH($C4,C_SourceStreams!$C$61:$C$2089,0)))</f>
        <v>0</v>
      </c>
      <c r="AW4" s="1039">
        <f>IF($BA4,"",INDEX(C_SourceStreams!BV$61:BV$2089,MATCH($C4,C_SourceStreams!$C$61:$C$2089,0)))</f>
        <v>0</v>
      </c>
      <c r="AX4" s="875">
        <f>IF($BA4,"",INDEX(C_SourceStreams!BW$61:BW$2089,MATCH($C4,C_SourceStreams!$C$61:$C$2089,0)))</f>
        <v>481.77126573999999</v>
      </c>
      <c r="AY4" s="875">
        <f>IF($BA4,"",INDEX(C_SourceStreams!BX$61:BX$2089,MATCH($C4,C_SourceStreams!$C$61:$C$2089,0)))</f>
        <v>0</v>
      </c>
      <c r="BA4" s="74" t="b">
        <f>IF(ISERROR(INDEX(C_SourceStreams!$K$28:$K$11971,MATCH(C4,C_SourceStreams!$C$28:$C$11971,0))),TRUE,INDEX(C_SourceStreams!$K$28:$K$11971,MATCH(C4,C_SourceStreams!$C$28:$C$11971,0))="")</f>
        <v>0</v>
      </c>
    </row>
    <row r="5" spans="1:53">
      <c r="C5" s="872">
        <v>2</v>
      </c>
      <c r="D5" s="874" t="str">
        <f>IF($BA5,"",INDEX(C_SourceStreams!$K$61:$K$2089,MATCH($C5,C_SourceStreams!$C$61:$C$2089,0)))</f>
        <v>Degimas</v>
      </c>
      <c r="E5" s="874" t="str">
        <f>IF($BA5,"",INDEX(C_SourceStreams!$E$61:$E$2089,MATCH($C5,C_SourceStreams!$C$61:$C$2089,0)))</f>
        <v>F2. Skystasis – Dujos ir (arba) dyzelinas; Dyzelinis krosnių kuras</v>
      </c>
      <c r="F5" s="875">
        <f>IF($BA5,"",INDEX(C_SourceStreams!BH$61:BH$2089,MATCH($C5,C_SourceStreams!$C$61:$C$2089,0)))</f>
        <v>0</v>
      </c>
      <c r="G5" s="873" t="str">
        <f>IF($BA5,"",INDEX(C_SourceStreams!BI$61:BI$2089,MATCH($C5,C_SourceStreams!$C$61:$C$2089,0)))</f>
        <v>t</v>
      </c>
      <c r="H5" s="875">
        <f>IF($BA5,"",INDEX(C_SourceStreams!BL$61:BL$2089,MATCH($C5,C_SourceStreams!$C$61:$C$2089,0)))</f>
        <v>43.07</v>
      </c>
      <c r="I5" s="873" t="str">
        <f>IF($BA5,"",INDEX(C_SourceStreams!BM$61:BM$2089,MATCH($C5,C_SourceStreams!$C$61:$C$2089,0)))</f>
        <v>GJ/t</v>
      </c>
      <c r="J5" s="875">
        <f>IF($BA5,"",INDEX(C_SourceStreams!BJ$61:BJ$2089,MATCH($C5,C_SourceStreams!$C$61:$C$2089,0)))</f>
        <v>72.89</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0</v>
      </c>
      <c r="AV5" s="1039">
        <f>IF($BA5,"",INDEX(C_SourceStreams!BU$61:BU$2089,MATCH($C5,C_SourceStreams!$C$61:$C$2089,0)))</f>
        <v>0</v>
      </c>
      <c r="AW5" s="1039">
        <f>IF($BA5,"",INDEX(C_SourceStreams!BV$61:BV$2089,MATCH($C5,C_SourceStreams!$C$61:$C$2089,0)))</f>
        <v>0</v>
      </c>
      <c r="AX5" s="875">
        <f>IF($BA5,"",INDEX(C_SourceStreams!BW$61:BW$2089,MATCH($C5,C_SourceStreams!$C$61:$C$2089,0)))</f>
        <v>0</v>
      </c>
      <c r="AY5" s="875">
        <f>IF($BA5,"",INDEX(C_SourceStreams!BX$61:BX$2089,MATCH($C5,C_SourceStreams!$C$61:$C$2089,0)))</f>
        <v>0</v>
      </c>
      <c r="BA5" s="74" t="b">
        <f>IF(ISERROR(INDEX(C_SourceStreams!$K$28:$K$11971,MATCH(C5,C_SourceStreams!$C$28:$C$11971,0))),TRUE,INDEX(C_SourceStreams!$K$28:$K$11971,MATCH(C5,C_SourceStreams!$C$28:$C$11971,0))="")</f>
        <v>0</v>
      </c>
    </row>
    <row r="6" spans="1:53">
      <c r="C6" s="872">
        <v>3</v>
      </c>
      <c r="D6" s="874" t="str">
        <f>IF($BA6,"",INDEX(C_SourceStreams!$K$61:$K$2089,MATCH($C6,C_SourceStreams!$C$61:$C$2089,0)))</f>
        <v>Degimas</v>
      </c>
      <c r="E6" s="874" t="str">
        <f>IF($BA6,"",INDEX(C_SourceStreams!$E$61:$E$2089,MATCH($C6,C_SourceStreams!$C$61:$C$2089,0)))</f>
        <v>F3. Kietasis – Mediena (ne atliekos); Medienos skiedros</v>
      </c>
      <c r="F6" s="875">
        <f>IF($BA6,"",INDEX(C_SourceStreams!BH$61:BH$2089,MATCH($C6,C_SourceStreams!$C$61:$C$2089,0)))</f>
        <v>35047</v>
      </c>
      <c r="G6" s="873" t="str">
        <f>IF($BA6,"",INDEX(C_SourceStreams!BI$61:BI$2089,MATCH($C6,C_SourceStreams!$C$61:$C$2089,0)))</f>
        <v>t</v>
      </c>
      <c r="H6" s="875">
        <f>IF($BA6,"",INDEX(C_SourceStreams!BL$61:BL$2089,MATCH($C6,C_SourceStreams!$C$61:$C$2089,0)))</f>
        <v>8.1999999999999993</v>
      </c>
      <c r="I6" s="873" t="str">
        <f>IF($BA6,"",INDEX(C_SourceStreams!BM$61:BM$2089,MATCH($C6,C_SourceStreams!$C$61:$C$2089,0)))</f>
        <v>GJ/t</v>
      </c>
      <c r="J6" s="875">
        <f>IF($BA6,"",INDEX(C_SourceStreams!BJ$61:BJ$2089,MATCH($C6,C_SourceStreams!$C$61:$C$2089,0)))</f>
        <v>109.9</v>
      </c>
      <c r="K6" s="873" t="str">
        <f>IF($BA6,"",INDEX(C_SourceStreams!BK$61:BK$2089,MATCH($C6,C_SourceStreams!$C$61:$C$2089,0)))</f>
        <v>tCO2/t</v>
      </c>
      <c r="L6" s="873">
        <f>IF($BA6,"",INDEX(C_SourceStreams!BP$61:BP$2089,MATCH($C6,C_SourceStreams!$C$61:$C$2089,0)))</f>
        <v>0</v>
      </c>
      <c r="M6" s="873" t="str">
        <f>IF($BA6,"",INDEX(C_SourceStreams!BQ$61:BQ$2089,MATCH($C6,C_SourceStreams!$C$61:$C$2089,0)))</f>
        <v/>
      </c>
      <c r="N6" s="875">
        <f>IF($BA6,"",INDEX(C_SourceStreams!BN$61:BN$2089,MATCH($C6,C_SourceStreams!$C$61:$C$2089,0))*100)</f>
        <v>100</v>
      </c>
      <c r="O6" s="876" t="str">
        <f t="shared" si="0"/>
        <v>%</v>
      </c>
      <c r="P6" s="875">
        <f>IF($BA6,"",INDEX(C_SourceStreams!BO$61:BO$2089,MATCH($C6,C_SourceStreams!$C$61:$C$2089,0))*100)</f>
        <v>100</v>
      </c>
      <c r="Q6" s="876" t="str">
        <f t="shared" si="1"/>
        <v>%</v>
      </c>
      <c r="R6" s="875">
        <f>IF($BA6,"",INDEX(C_SourceStreams!BR$61:BR$2089,MATCH($C6,C_SourceStreams!$C$61:$C$2089,0))*100)</f>
        <v>100</v>
      </c>
      <c r="S6" s="876" t="str">
        <f t="shared" si="2"/>
        <v>%</v>
      </c>
      <c r="T6" s="875">
        <f>IF($BA6,"",INDEX(C_SourceStreams!BS$61:BS$2089,MATCH($C6,C_SourceStreams!$C$61:$C$2089,0))*100)</f>
        <v>0</v>
      </c>
      <c r="U6" s="876" t="str">
        <f t="shared" si="3"/>
        <v>%</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f>IF($BA6,"",INDEX(C_SourceStreams!BT$61:BT$2089,MATCH($C6,C_SourceStreams!$C$61:$C$2089,0)))</f>
        <v>0</v>
      </c>
      <c r="AV6" s="1039">
        <f>IF($BA6,"",INDEX(C_SourceStreams!BU$61:BU$2089,MATCH($C6,C_SourceStreams!$C$61:$C$2089,0)))</f>
        <v>3851665.3000000003</v>
      </c>
      <c r="AW6" s="1039">
        <f>IF($BA6,"",INDEX(C_SourceStreams!BV$61:BV$2089,MATCH($C6,C_SourceStreams!$C$61:$C$2089,0)))</f>
        <v>0</v>
      </c>
      <c r="AX6" s="875">
        <f>IF($BA6,"",INDEX(C_SourceStreams!BW$61:BW$2089,MATCH($C6,C_SourceStreams!$C$61:$C$2089,0)))</f>
        <v>0</v>
      </c>
      <c r="AY6" s="875">
        <f>IF($BA6,"",INDEX(C_SourceStreams!BX$61:BX$2089,MATCH($C6,C_SourceStreams!$C$61:$C$2089,0)))</f>
        <v>287.38539999999995</v>
      </c>
      <c r="BA6" s="74" t="b">
        <f>IF(ISERROR(INDEX(C_SourceStreams!$K$28:$K$11971,MATCH(C6,C_SourceStreams!$C$28:$C$11971,0))),TRUE,INDEX(C_SourceStreams!$K$28:$K$11971,MATCH(C6,C_SourceStreams!$C$28:$C$11971,0))="")</f>
        <v>0</v>
      </c>
    </row>
    <row r="7" spans="1:53">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c r="BA79" s="56"/>
    </row>
    <row r="80" spans="3:53" ht="50.1" customHeight="1" thickBot="1">
      <c r="D80" s="885" t="str">
        <f>Translations!$B$835</f>
        <v>PFC sukėlikliai</v>
      </c>
      <c r="BA80" s="56"/>
    </row>
    <row r="81" spans="3:53" ht="50.1" customHeight="1" thickBot="1">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6"/>
    </row>
    <row r="82" spans="3:53">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c r="C92" s="6"/>
      <c r="D92" s="206"/>
      <c r="E92" s="206"/>
      <c r="F92" s="899"/>
      <c r="G92" s="6"/>
      <c r="H92" s="899"/>
      <c r="I92" s="6"/>
      <c r="J92" s="899"/>
      <c r="K92" s="6"/>
      <c r="L92" s="6"/>
      <c r="M92" s="6"/>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c r="D93" s="885" t="str">
        <f>Translations!$B$836</f>
        <v>Taršos šaltiniai (matavimu grindžiami metodai)</v>
      </c>
      <c r="BA93" s="56"/>
    </row>
    <row r="94" spans="3:53" ht="50.1" customHeight="1" thickBot="1">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6"/>
    </row>
    <row r="95" spans="3:53">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c r="BA105" s="56"/>
    </row>
    <row r="106" spans="3:53" ht="50.1" customHeight="1" thickBot="1">
      <c r="D106" s="885" t="str">
        <f>Translations!$B$837</f>
        <v>Alternatyvus metodas</v>
      </c>
      <c r="BA106" s="56"/>
    </row>
    <row r="107" spans="3:53" ht="50.1" customHeight="1" thickBot="1">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6"/>
    </row>
    <row r="108" spans="3:53">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c r="BA109" s="56"/>
    </row>
  </sheetData>
  <sheetProtection sheet="1" objects="1" scenarios="1"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cols>
    <col min="1" max="1" width="23.28515625" style="60" customWidth="1"/>
    <col min="2" max="3" width="27.85546875" style="60" customWidth="1"/>
    <col min="4" max="42" width="12.7109375" style="60" customWidth="1"/>
    <col min="43" max="16384" width="11.42578125" style="60"/>
  </cols>
  <sheetData>
    <row r="2" spans="1:9">
      <c r="A2" s="55" t="s">
        <v>202</v>
      </c>
      <c r="B2" s="55" t="b">
        <v>1</v>
      </c>
      <c r="C2" s="55" t="b">
        <v>0</v>
      </c>
    </row>
    <row r="3" spans="1:9">
      <c r="A3" s="55" t="s">
        <v>331</v>
      </c>
      <c r="B3" s="72">
        <v>2013</v>
      </c>
      <c r="C3" s="72">
        <v>2014</v>
      </c>
      <c r="D3" s="72">
        <v>2015</v>
      </c>
      <c r="E3" s="72">
        <v>2016</v>
      </c>
      <c r="F3" s="72">
        <v>2017</v>
      </c>
      <c r="G3" s="72">
        <v>2018</v>
      </c>
      <c r="H3" s="72">
        <v>2019</v>
      </c>
      <c r="I3" s="72">
        <v>2020</v>
      </c>
    </row>
    <row r="4" spans="1:9">
      <c r="A4" s="55" t="s">
        <v>274</v>
      </c>
      <c r="B4" s="55" t="str">
        <f>Translations!$B$342</f>
        <v>Degimas</v>
      </c>
    </row>
    <row r="5" spans="1:9">
      <c r="A5" s="55" t="s">
        <v>275</v>
      </c>
      <c r="B5" s="55" t="str">
        <f>Translations!$B$838</f>
        <v>Proceso metu išsiskiriančios ŠESD</v>
      </c>
    </row>
    <row r="6" spans="1:9">
      <c r="A6" s="55" t="s">
        <v>276</v>
      </c>
      <c r="B6" s="55" t="str">
        <f>Translations!$B$362</f>
        <v>Masės balansas</v>
      </c>
    </row>
    <row r="7" spans="1:9">
      <c r="A7" s="55" t="s">
        <v>251</v>
      </c>
      <c r="B7" s="55" t="s">
        <v>252</v>
      </c>
    </row>
    <row r="8" spans="1:9">
      <c r="A8" s="55" t="s">
        <v>76</v>
      </c>
      <c r="B8" s="55" t="s">
        <v>6</v>
      </c>
    </row>
    <row r="9" spans="1:9">
      <c r="A9" s="55" t="s">
        <v>7</v>
      </c>
      <c r="B9" s="55" t="s">
        <v>8</v>
      </c>
    </row>
    <row r="10" spans="1:9">
      <c r="A10" s="55" t="s">
        <v>9</v>
      </c>
      <c r="B10" s="55" t="s">
        <v>16</v>
      </c>
    </row>
    <row r="11" spans="1:9">
      <c r="A11" s="55" t="s">
        <v>10</v>
      </c>
      <c r="B11" s="55" t="s">
        <v>15</v>
      </c>
    </row>
    <row r="12" spans="1:9">
      <c r="A12" s="55" t="s">
        <v>490</v>
      </c>
      <c r="B12" s="55" t="s">
        <v>491</v>
      </c>
    </row>
    <row r="13" spans="1:9">
      <c r="A13" s="55" t="s">
        <v>11</v>
      </c>
      <c r="B13" s="55" t="s">
        <v>14</v>
      </c>
    </row>
    <row r="14" spans="1:9">
      <c r="A14" s="55" t="s">
        <v>12</v>
      </c>
      <c r="B14" s="55" t="s">
        <v>13</v>
      </c>
    </row>
    <row r="15" spans="1:9">
      <c r="A15" s="55" t="s">
        <v>231</v>
      </c>
      <c r="B15" s="55" t="str">
        <f>Translations!$B$673</f>
        <v>Vertė</v>
      </c>
    </row>
    <row r="16" spans="1:9">
      <c r="A16" s="55" t="s">
        <v>232</v>
      </c>
      <c r="B16" s="55" t="str">
        <f>Translations!$B$158</f>
        <v>Vienetas</v>
      </c>
    </row>
    <row r="17" spans="1:7">
      <c r="A17" s="55" t="s">
        <v>348</v>
      </c>
      <c r="B17" s="55" t="s">
        <v>349</v>
      </c>
    </row>
    <row r="18" spans="1:7">
      <c r="A18" s="55" t="s">
        <v>108</v>
      </c>
      <c r="B18" s="55" t="s">
        <v>110</v>
      </c>
    </row>
    <row r="19" spans="1:7">
      <c r="A19" s="55" t="s">
        <v>109</v>
      </c>
      <c r="B19" s="55" t="s">
        <v>111</v>
      </c>
    </row>
    <row r="20" spans="1:7">
      <c r="A20" s="55" t="s">
        <v>337</v>
      </c>
      <c r="B20" s="55" t="s">
        <v>338</v>
      </c>
    </row>
    <row r="21" spans="1:7">
      <c r="A21" s="55" t="s">
        <v>339</v>
      </c>
      <c r="B21" s="55" t="s">
        <v>340</v>
      </c>
    </row>
    <row r="22" spans="1:7">
      <c r="A22" s="55" t="s">
        <v>298</v>
      </c>
      <c r="B22" s="55" t="s">
        <v>299</v>
      </c>
    </row>
    <row r="23" spans="1:7">
      <c r="A23" s="55" t="s">
        <v>587</v>
      </c>
      <c r="B23" s="55" t="s">
        <v>588</v>
      </c>
    </row>
    <row r="24" spans="1:7">
      <c r="A24" s="55" t="s">
        <v>591</v>
      </c>
      <c r="B24" s="55" t="s">
        <v>589</v>
      </c>
    </row>
    <row r="25" spans="1:7">
      <c r="A25" s="55" t="s">
        <v>592</v>
      </c>
      <c r="B25" s="55" t="s">
        <v>590</v>
      </c>
    </row>
    <row r="26" spans="1:7">
      <c r="A26" s="55" t="s">
        <v>230</v>
      </c>
      <c r="B26" s="1" t="str">
        <f>Translations!$B$653</f>
        <v>I tipas</v>
      </c>
      <c r="C26" s="1" t="str">
        <f>Translations!$B$654</f>
        <v>II tipas</v>
      </c>
    </row>
    <row r="27" spans="1:7">
      <c r="A27" s="55" t="s">
        <v>312</v>
      </c>
      <c r="B27" s="1" t="str">
        <f>Translations!$B$659</f>
        <v>I tipas, biol.</v>
      </c>
      <c r="C27" s="1" t="str">
        <f>Translations!$B$661</f>
        <v>II tipas, biol.</v>
      </c>
    </row>
    <row r="28" spans="1:7">
      <c r="A28" s="55"/>
      <c r="B28" s="55"/>
    </row>
    <row r="29" spans="1:7" s="46" customFormat="1">
      <c r="A29" s="55" t="s">
        <v>281</v>
      </c>
      <c r="B29" s="45" t="s">
        <v>282</v>
      </c>
    </row>
    <row r="30" spans="1:7" s="46" customFormat="1">
      <c r="A30" s="55" t="s">
        <v>283</v>
      </c>
      <c r="B30" s="45" t="s">
        <v>284</v>
      </c>
    </row>
    <row r="31" spans="1:7" s="46" customFormat="1">
      <c r="A31" s="56" t="s">
        <v>279</v>
      </c>
      <c r="B31" s="45" t="s">
        <v>280</v>
      </c>
    </row>
    <row r="32" spans="1:7" s="46" customFormat="1">
      <c r="A32" s="55" t="s">
        <v>287</v>
      </c>
      <c r="B32" s="1" t="str">
        <f>Translations!$B$839</f>
        <v>1 000 Nm3</v>
      </c>
      <c r="C32" s="345"/>
      <c r="D32" s="51"/>
      <c r="E32" s="51"/>
      <c r="F32" s="51"/>
      <c r="G32" s="51"/>
    </row>
    <row r="33" spans="1:7" s="46" customFormat="1">
      <c r="A33" s="55" t="s">
        <v>286</v>
      </c>
      <c r="B33" s="45" t="str">
        <f>EUconst_GJ &amp; "/" &amp;EUconst_t</f>
        <v>GJ/t</v>
      </c>
    </row>
    <row r="34" spans="1:7" s="46" customFormat="1">
      <c r="A34" s="55" t="s">
        <v>285</v>
      </c>
      <c r="B34" s="45" t="str">
        <f>"tCO2/"&amp;EUconst_t</f>
        <v>tCO2/t</v>
      </c>
    </row>
    <row r="35" spans="1:7" s="46" customFormat="1">
      <c r="A35" s="55" t="s">
        <v>289</v>
      </c>
      <c r="B35" s="45" t="str">
        <f>"tCO2/"&amp;EUconst_TJ</f>
        <v>tCO2/TJ</v>
      </c>
    </row>
    <row r="36" spans="1:7" s="46" customFormat="1">
      <c r="A36" s="55" t="s">
        <v>322</v>
      </c>
      <c r="B36" s="45" t="str">
        <f>"tCO2/"&amp;EUconst_kNm3</f>
        <v>tCO2/1 000 Nm3</v>
      </c>
    </row>
    <row r="37" spans="1:7" s="46" customFormat="1">
      <c r="A37" s="55" t="s">
        <v>288</v>
      </c>
      <c r="B37" s="1" t="str">
        <f>Translations!$B$840</f>
        <v>GJ/1 000 Nm3</v>
      </c>
      <c r="C37" s="345"/>
      <c r="D37" s="51"/>
      <c r="E37" s="51"/>
      <c r="F37" s="51"/>
      <c r="G37" s="51"/>
    </row>
    <row r="38" spans="1:7" s="46" customFormat="1">
      <c r="A38" s="55" t="s">
        <v>26</v>
      </c>
      <c r="B38" s="1" t="str">
        <f>Translations!$B$841</f>
        <v>t C</v>
      </c>
      <c r="C38" s="345"/>
      <c r="D38" s="51"/>
      <c r="E38" s="51"/>
      <c r="F38" s="51"/>
      <c r="G38" s="51"/>
    </row>
    <row r="39" spans="1:7" s="46" customFormat="1">
      <c r="A39" s="55" t="s">
        <v>313</v>
      </c>
      <c r="B39" s="1" t="str">
        <f>Translations!$B$842</f>
        <v>t C/t</v>
      </c>
      <c r="C39" s="345"/>
      <c r="D39" s="51"/>
      <c r="E39" s="51"/>
      <c r="F39" s="51"/>
      <c r="G39" s="51"/>
    </row>
    <row r="40" spans="1:7" s="46" customFormat="1">
      <c r="A40" s="55" t="s">
        <v>24</v>
      </c>
      <c r="B40" s="1" t="str">
        <f>Translations!$B$843</f>
        <v>t C/1 000 Nm3</v>
      </c>
      <c r="C40" s="345"/>
      <c r="D40" s="51"/>
      <c r="E40" s="51"/>
      <c r="F40" s="51"/>
      <c r="G40" s="51"/>
    </row>
    <row r="41" spans="1:7" s="46" customFormat="1">
      <c r="A41" s="55" t="s">
        <v>291</v>
      </c>
      <c r="B41" s="1" t="str">
        <f>EUconst_t</f>
        <v>t</v>
      </c>
      <c r="C41" s="1" t="str">
        <f>EUconst_kNm3</f>
        <v>1 000 Nm3</v>
      </c>
      <c r="D41" s="51"/>
      <c r="E41" s="51"/>
      <c r="F41" s="51"/>
      <c r="G41" s="51"/>
    </row>
    <row r="42" spans="1:7" s="46" customFormat="1">
      <c r="A42" s="55" t="s">
        <v>229</v>
      </c>
      <c r="B42" s="1" t="str">
        <f>EUconst_t</f>
        <v>t</v>
      </c>
      <c r="C42" s="1" t="str">
        <f>EUconst_kNm3</f>
        <v>1 000 Nm3</v>
      </c>
      <c r="D42" s="1" t="str">
        <f>EUconst_NA</f>
        <v>netaik.</v>
      </c>
      <c r="E42" s="51"/>
      <c r="F42" s="51"/>
      <c r="G42" s="51"/>
    </row>
    <row r="43" spans="1:7" s="46" customFormat="1">
      <c r="A43" s="55" t="s">
        <v>320</v>
      </c>
      <c r="B43" s="1" t="str">
        <f>EUconst_tCO2pTJ</f>
        <v>tCO2/TJ</v>
      </c>
      <c r="C43" s="1" t="str">
        <f>EUconst_tCO2pt</f>
        <v>tCO2/t</v>
      </c>
      <c r="D43" s="1" t="str">
        <f>EUconst_NA</f>
        <v>netaik.</v>
      </c>
      <c r="E43" s="51"/>
      <c r="F43" s="51"/>
      <c r="G43" s="51"/>
    </row>
    <row r="44" spans="1:7" s="46" customFormat="1">
      <c r="A44" s="55" t="s">
        <v>135</v>
      </c>
      <c r="B44" s="1" t="str">
        <f>Translations!$B$842</f>
        <v>t C/t</v>
      </c>
      <c r="C44" s="1" t="str">
        <f>Translations!$B$843</f>
        <v>t C/1 000 Nm3</v>
      </c>
      <c r="D44" s="1" t="str">
        <f>EUconst_NA</f>
        <v>netaik.</v>
      </c>
      <c r="E44" s="51"/>
      <c r="F44" s="51"/>
      <c r="G44" s="51"/>
    </row>
    <row r="45" spans="1:7" s="46" customFormat="1">
      <c r="A45" s="55" t="s">
        <v>25</v>
      </c>
      <c r="B45" s="1" t="str">
        <f>Translations!$B$842</f>
        <v>t C/t</v>
      </c>
      <c r="C45" s="1" t="str">
        <f>Translations!$B$843</f>
        <v>t C/1 000 Nm3</v>
      </c>
      <c r="D45" s="51"/>
      <c r="E45" s="51"/>
      <c r="F45" s="51"/>
      <c r="G45" s="51"/>
    </row>
    <row r="46" spans="1:7" s="46" customFormat="1">
      <c r="A46" s="55" t="s">
        <v>327</v>
      </c>
      <c r="B46" s="47" t="str">
        <f>Translations!$B$844</f>
        <v>val./metai</v>
      </c>
      <c r="C46" s="1"/>
      <c r="D46" s="1"/>
      <c r="E46" s="51"/>
      <c r="F46" s="51"/>
      <c r="G46" s="51"/>
    </row>
    <row r="47" spans="1:7" s="46" customFormat="1">
      <c r="A47" s="55" t="s">
        <v>323</v>
      </c>
      <c r="B47" s="47" t="str">
        <f>Translations!$B$845</f>
        <v>1 000 Nm3/h</v>
      </c>
      <c r="C47" s="1"/>
      <c r="D47" s="1"/>
      <c r="E47" s="51"/>
      <c r="F47" s="51"/>
      <c r="G47" s="51"/>
    </row>
    <row r="48" spans="1:7" s="46" customFormat="1">
      <c r="A48" s="55" t="s">
        <v>324</v>
      </c>
      <c r="B48" s="47" t="str">
        <f>Translations!$B$846</f>
        <v>g/Nm3</v>
      </c>
      <c r="C48" s="1"/>
      <c r="D48" s="1"/>
      <c r="E48" s="51"/>
      <c r="F48" s="51"/>
      <c r="G48" s="51"/>
    </row>
    <row r="49" spans="1:7" s="46" customFormat="1">
      <c r="A49" s="55" t="s">
        <v>328</v>
      </c>
      <c r="B49" s="47" t="str">
        <f>Translations!$B$847</f>
        <v>1 000 Nm3/m.</v>
      </c>
      <c r="C49" s="1"/>
      <c r="D49" s="1"/>
      <c r="E49" s="51"/>
      <c r="F49" s="51"/>
      <c r="G49" s="51"/>
    </row>
    <row r="50" spans="1:7" s="46" customFormat="1">
      <c r="A50" s="56"/>
      <c r="B50" s="1"/>
      <c r="C50" s="345"/>
      <c r="D50" s="51"/>
      <c r="E50" s="51"/>
      <c r="F50" s="51"/>
      <c r="G50" s="51"/>
    </row>
    <row r="51" spans="1:7" s="46" customFormat="1">
      <c r="A51" s="56"/>
      <c r="B51" s="1"/>
      <c r="C51" s="345"/>
      <c r="D51" s="51"/>
      <c r="E51" s="51"/>
      <c r="F51" s="51"/>
      <c r="G51" s="51"/>
    </row>
    <row r="52" spans="1:7" s="46" customFormat="1">
      <c r="A52" s="56"/>
      <c r="B52" s="1"/>
      <c r="C52" s="345"/>
      <c r="D52" s="51"/>
      <c r="E52" s="51"/>
      <c r="F52" s="51"/>
      <c r="G52" s="51"/>
    </row>
    <row r="53" spans="1:7" s="46" customFormat="1">
      <c r="A53" s="55" t="s">
        <v>203</v>
      </c>
      <c r="B53" s="1" t="s">
        <v>204</v>
      </c>
      <c r="C53" s="345"/>
      <c r="D53" s="51"/>
      <c r="E53" s="51"/>
      <c r="F53" s="51"/>
      <c r="G53" s="51"/>
    </row>
    <row r="54" spans="1:7" s="46" customFormat="1">
      <c r="A54" s="55" t="s">
        <v>205</v>
      </c>
      <c r="B54" s="1" t="s">
        <v>206</v>
      </c>
      <c r="C54" s="345"/>
      <c r="D54" s="51"/>
      <c r="E54" s="51"/>
      <c r="F54" s="51"/>
      <c r="G54" s="51"/>
    </row>
    <row r="55" spans="1:7" s="46" customFormat="1">
      <c r="A55" s="55" t="s">
        <v>462</v>
      </c>
      <c r="B55" s="1" t="s">
        <v>463</v>
      </c>
      <c r="C55" s="345"/>
      <c r="D55" s="51"/>
      <c r="E55" s="51"/>
      <c r="F55" s="51"/>
      <c r="G55" s="51"/>
    </row>
    <row r="56" spans="1:7" s="46" customFormat="1">
      <c r="A56" s="55" t="s">
        <v>207</v>
      </c>
      <c r="B56" s="1" t="s">
        <v>208</v>
      </c>
      <c r="C56" s="345"/>
      <c r="D56" s="51"/>
      <c r="E56" s="51"/>
      <c r="F56" s="51"/>
      <c r="G56" s="51"/>
    </row>
    <row r="57" spans="1:7" s="46" customFormat="1">
      <c r="A57" s="55" t="s">
        <v>485</v>
      </c>
      <c r="B57" s="1" t="s">
        <v>486</v>
      </c>
      <c r="C57" s="345"/>
      <c r="D57" s="51"/>
      <c r="E57" s="51"/>
      <c r="F57" s="51"/>
      <c r="G57" s="51"/>
    </row>
    <row r="58" spans="1:7" s="46" customFormat="1">
      <c r="A58" s="55" t="s">
        <v>209</v>
      </c>
      <c r="B58" s="1" t="s">
        <v>210</v>
      </c>
      <c r="C58" s="345"/>
      <c r="D58" s="51"/>
      <c r="E58" s="51"/>
      <c r="F58" s="51"/>
      <c r="G58" s="51"/>
    </row>
    <row r="59" spans="1:7" s="46" customFormat="1">
      <c r="A59" s="55" t="s">
        <v>211</v>
      </c>
      <c r="B59" s="1" t="s">
        <v>212</v>
      </c>
      <c r="C59" s="345"/>
      <c r="D59" s="51"/>
      <c r="E59" s="51"/>
      <c r="F59" s="51"/>
      <c r="G59" s="51"/>
    </row>
    <row r="60" spans="1:7">
      <c r="A60" s="55" t="s">
        <v>17</v>
      </c>
      <c r="B60" s="55" t="str">
        <f>Translations!$B$177</f>
        <v xml:space="preserve">&lt;&lt;&lt; Į kitą lapą pereisite paspaudę čia &gt;&gt;&gt; </v>
      </c>
    </row>
    <row r="61" spans="1:7">
      <c r="A61" s="55" t="s">
        <v>237</v>
      </c>
      <c r="B61" s="55" t="str">
        <f>Translations!$B$178</f>
        <v>Sukėliklis</v>
      </c>
    </row>
    <row r="62" spans="1:7">
      <c r="A62" s="55" t="s">
        <v>238</v>
      </c>
      <c r="B62" s="55" t="str">
        <f>Translations!$B$179</f>
        <v>Matavimo vieta</v>
      </c>
    </row>
    <row r="63" spans="1:7">
      <c r="A63" s="55" t="s">
        <v>342</v>
      </c>
      <c r="B63" s="55" t="str">
        <f>Translations!$B$74</f>
        <v>Veiklos vykdytojas</v>
      </c>
      <c r="C63" s="55" t="str">
        <f>Translations!$B$180</f>
        <v>Prekybos partneris</v>
      </c>
    </row>
    <row r="64" spans="1:7">
      <c r="A64" s="55" t="s">
        <v>92</v>
      </c>
      <c r="B64" s="55" t="str">
        <f>Translations!$B$181</f>
        <v>Partija</v>
      </c>
      <c r="C64" s="55" t="str">
        <f>Translations!$B$142</f>
        <v>Nuolatinio matavimo</v>
      </c>
    </row>
    <row r="65" spans="1:3">
      <c r="A65" s="55" t="s">
        <v>259</v>
      </c>
      <c r="B65" s="55" t="str">
        <f>Translations!$B$848</f>
        <v xml:space="preserve">Išsamios duomenų įvedimo naudojantis šia priemone instrukcijos pateiktos šio lapo viršuje. </v>
      </c>
      <c r="C65" s="55"/>
    </row>
    <row r="66" spans="1:3">
      <c r="A66" s="55" t="s">
        <v>73</v>
      </c>
      <c r="B66" s="55" t="str">
        <f>Translations!$B$157</f>
        <v>netaik.</v>
      </c>
    </row>
    <row r="67" spans="1:3">
      <c r="A67" s="55" t="s">
        <v>300</v>
      </c>
      <c r="B67" s="55" t="str">
        <f>Translations!$B$182</f>
        <v>svarbu</v>
      </c>
    </row>
    <row r="68" spans="1:3">
      <c r="A68" s="55" t="s">
        <v>301</v>
      </c>
      <c r="B68" s="55" t="str">
        <f>Translations!$B$183</f>
        <v>nesvarbu</v>
      </c>
    </row>
    <row r="69" spans="1:3">
      <c r="A69" s="55" t="s">
        <v>344</v>
      </c>
      <c r="B69" s="55" t="str">
        <f>Translations!$B$184</f>
        <v>Netaikoma!</v>
      </c>
    </row>
    <row r="70" spans="1:3">
      <c r="A70" s="55" t="s">
        <v>345</v>
      </c>
      <c r="B70" s="55" t="str">
        <f>Translations!$B$849</f>
        <v>Neapibrėžtis</v>
      </c>
    </row>
    <row r="71" spans="1:3">
      <c r="A71" s="55" t="s">
        <v>94</v>
      </c>
      <c r="B71" s="55" t="str">
        <f>Translations!$B$185</f>
        <v>(netaik.; naudoti geriausia patirtimi grįstą apskaičiavimą)</v>
      </c>
    </row>
    <row r="72" spans="1:3">
      <c r="A72" s="55" t="s">
        <v>17</v>
      </c>
      <c r="B72" s="55" t="str">
        <f>Translations!$B$177</f>
        <v xml:space="preserve">&lt;&lt;&lt; Į kitą lapą pereisite paspaudę čia &gt;&gt;&gt; </v>
      </c>
    </row>
    <row r="73" spans="1:3">
      <c r="A73" s="55" t="s">
        <v>394</v>
      </c>
      <c r="B73" s="55" t="str">
        <f>Translations!$B$850</f>
        <v>Norėdami gauti išsamių rekomendacijų, spustelėkite čia ir Jums bus pateiktas lapo viršuje esantis tekstas!</v>
      </c>
    </row>
    <row r="74" spans="1:3">
      <c r="A74" s="55" t="s">
        <v>18</v>
      </c>
      <c r="B74" s="55" t="str">
        <f>Translations!$B$186</f>
        <v>Įvesti duomenis į šį skirsnį</v>
      </c>
    </row>
    <row r="75" spans="1:3">
      <c r="A75" s="55" t="s">
        <v>240</v>
      </c>
      <c r="B75" s="55" t="str">
        <f>Translations!$B$187</f>
        <v>Prašome pildyti tolesnius punktus</v>
      </c>
    </row>
    <row r="76" spans="1:3">
      <c r="A76" s="55" t="s">
        <v>395</v>
      </c>
      <c r="B76" s="55" t="str">
        <f>Translations!$B$851</f>
        <v>Pereikite į šiam sukėlikliui skirtą lapą „F_PFC“.</v>
      </c>
    </row>
    <row r="77" spans="1:3">
      <c r="A77" s="55" t="s">
        <v>192</v>
      </c>
      <c r="B77" s="55" t="str">
        <f>Translations!$B$188</f>
        <v>Pateisinti, kodėl nėra istorinių duomenų ar jie netinka</v>
      </c>
    </row>
    <row r="78" spans="1:3">
      <c r="A78" s="55" t="s">
        <v>346</v>
      </c>
      <c r="B78" s="55" t="str">
        <f>Translations!$B$189</f>
        <v>Nėra pakopos</v>
      </c>
    </row>
    <row r="79" spans="1:3">
      <c r="A79" s="55" t="s">
        <v>316</v>
      </c>
      <c r="B79" s="55" t="str">
        <f>Translations!$B$852</f>
        <v>Nenuoseklu!</v>
      </c>
    </row>
    <row r="80" spans="1:3">
      <c r="A80" s="55" t="s">
        <v>317</v>
      </c>
      <c r="B80" s="55" t="str">
        <f>Translations!$B$853</f>
        <v>Nebaigta!</v>
      </c>
    </row>
    <row r="81" spans="1:32">
      <c r="A81" s="55" t="s">
        <v>191</v>
      </c>
      <c r="B81" s="55" t="str">
        <f>Translations!$B$190</f>
        <v>Ši taisyklė netaikoma įrenginiams, kurių veikla siejasi su N2O!</v>
      </c>
    </row>
    <row r="82" spans="1:32">
      <c r="A82" s="55" t="s">
        <v>130</v>
      </c>
      <c r="B82" s="55" t="str">
        <f>Translations!$B$191</f>
        <v>Viršyta labai mažo sukėliklio riba!</v>
      </c>
    </row>
    <row r="83" spans="1:32">
      <c r="A83" s="55" t="s">
        <v>131</v>
      </c>
      <c r="B83" s="55" t="str">
        <f>Translations!$B$192</f>
        <v>Viršyta mažo sukėliklio riba!</v>
      </c>
    </row>
    <row r="84" spans="1:32">
      <c r="A84" s="55" t="s">
        <v>551</v>
      </c>
      <c r="B84" s="55" t="str">
        <f>Translations!$B$193</f>
        <v>Nesumuoti, jei mažiau nei 5% metinio išmetimo (6.c skirsnis)!</v>
      </c>
    </row>
    <row r="85" spans="1:32">
      <c r="A85" s="55" t="s">
        <v>557</v>
      </c>
      <c r="B85" s="55" t="str">
        <f>Translations!$B$194</f>
        <v>Pildo tik kompetentinga institucija</v>
      </c>
      <c r="C85" s="55" t="str">
        <f>Translations!$B$195</f>
        <v>Pildo veiklos vykdytojas</v>
      </c>
      <c r="E85" s="81"/>
    </row>
    <row r="86" spans="1:32" s="46" customFormat="1">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c r="A89" s="55" t="s">
        <v>81</v>
      </c>
      <c r="B89" s="55" t="str">
        <f>Translations!$B$854</f>
        <v>Aktualūs skirsniai: 7 skirsnio b punktas, 8 skirsnis.</v>
      </c>
    </row>
    <row r="90" spans="1:32">
      <c r="A90" s="55" t="s">
        <v>82</v>
      </c>
      <c r="B90" s="55" t="str">
        <f>Translations!$B$855</f>
        <v>Aktualūs skirsniai: 7 skirsnio c punktas, 9 skirsnis.</v>
      </c>
    </row>
    <row r="91" spans="1:32">
      <c r="A91" s="55" t="s">
        <v>83</v>
      </c>
      <c r="B91" s="55" t="str">
        <f>Translations!$B$856</f>
        <v>Aktualūs skirsniai: 10 skirsnis.</v>
      </c>
    </row>
    <row r="92" spans="1:32">
      <c r="A92" s="55" t="s">
        <v>84</v>
      </c>
      <c r="B92" s="55" t="str">
        <f>Translations!$B$855</f>
        <v>Aktualūs skirsniai: 7 skirsnio c punktas, 9 skirsnis.</v>
      </c>
    </row>
    <row r="93" spans="1:32">
      <c r="A93" s="55" t="s">
        <v>85</v>
      </c>
      <c r="B93" s="55" t="str">
        <f>Translations!$B$857</f>
        <v>Aktualūs skirsniai: 7 skirsnio b punktas, 11 ir 12 skirsniai.</v>
      </c>
    </row>
    <row r="94" spans="1:32">
      <c r="A94" s="55" t="s">
        <v>86</v>
      </c>
      <c r="B94" s="55" t="str">
        <f>Translations!$B$855</f>
        <v>Aktualūs skirsniai: 7 skirsnio c punktas, 9 skirsnis.</v>
      </c>
    </row>
    <row r="95" spans="1:32">
      <c r="A95" s="55" t="s">
        <v>258</v>
      </c>
      <c r="B95" s="56" t="s">
        <v>20</v>
      </c>
      <c r="C95" s="55" t="s">
        <v>21</v>
      </c>
      <c r="D95" s="243" t="str">
        <f>Translations!$B$229</f>
        <v>CO2 perdavimas</v>
      </c>
    </row>
    <row r="96" spans="1:32">
      <c r="A96" s="55" t="s">
        <v>66</v>
      </c>
      <c r="B96" s="243" t="str">
        <f>Translations!$B$858</f>
        <v>Išmetamas PFC kiekis</v>
      </c>
    </row>
    <row r="97" spans="1:6">
      <c r="A97" s="55" t="s">
        <v>484</v>
      </c>
      <c r="B97" s="55" t="str">
        <f>Translations!$B$837</f>
        <v>Alternatyvus metodas</v>
      </c>
    </row>
    <row r="98" spans="1:6">
      <c r="A98" s="55"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c r="A99" s="55" t="s">
        <v>89</v>
      </c>
      <c r="B99" s="281" t="str">
        <f>Translations!$B$235</f>
        <v>Savų priemonių naudojimas</v>
      </c>
      <c r="C99" s="281" t="str">
        <f>Translations!$B$236</f>
        <v>kito įrenginių priemonių naudojimas</v>
      </c>
      <c r="D99" s="281" t="str">
        <f>Translations!$B$237</f>
        <v>Abiejų partnerių instrumentų naudojimas</v>
      </c>
    </row>
    <row r="100" spans="1:6">
      <c r="A100" s="55" t="s">
        <v>389</v>
      </c>
      <c r="B100" s="243" t="str">
        <f>Translations!$B$238</f>
        <v>A metodas</v>
      </c>
      <c r="C100" s="47" t="str">
        <f>Translations!$B$239</f>
        <v>B Metodas</v>
      </c>
    </row>
    <row r="103" spans="1:6" s="82" customFormat="1"/>
    <row r="105" spans="1:6" s="46" customFormat="1">
      <c r="A105" s="83" t="str">
        <f>Translations!$B$240</f>
        <v>I priedo veikla</v>
      </c>
    </row>
    <row r="106" spans="1:6" s="46" customFormat="1">
      <c r="A106" s="55" t="str">
        <f>Translations!$B$113</f>
        <v>Kuro deginimas</v>
      </c>
    </row>
    <row r="107" spans="1:6" s="46" customFormat="1">
      <c r="A107" s="56" t="str">
        <f>Translations!$B$241</f>
        <v xml:space="preserve">Naftos perdirbimas </v>
      </c>
    </row>
    <row r="108" spans="1:6" s="46" customFormat="1">
      <c r="A108" s="56" t="str">
        <f>Translations!$B$242</f>
        <v>Kokso gamyba</v>
      </c>
    </row>
    <row r="109" spans="1:6" s="46" customFormat="1">
      <c r="A109" s="56" t="str">
        <f>Translations!$B$243</f>
        <v>Metalo rūdų deginimas arba kepinimas</v>
      </c>
    </row>
    <row r="110" spans="1:6" s="46" customFormat="1">
      <c r="A110" s="56" t="str">
        <f>Translations!$B$244</f>
        <v>Ketaus arba plieno gamyba</v>
      </c>
    </row>
    <row r="111" spans="1:6" s="46" customFormat="1">
      <c r="A111" s="56" t="str">
        <f>Translations!$B$245</f>
        <v>Juodųjų metalų gamyba ar apdirbimas</v>
      </c>
    </row>
    <row r="112" spans="1:6" s="46" customFormat="1">
      <c r="A112" s="56" t="str">
        <f>Translations!$B$246</f>
        <v>Pirminio aliuminio gamyba</v>
      </c>
    </row>
    <row r="113" spans="1:1" s="46" customFormat="1">
      <c r="A113" s="56" t="str">
        <f>Translations!$B$247</f>
        <v>Antrinio aliuminio gamyba</v>
      </c>
    </row>
    <row r="114" spans="1:1" s="46" customFormat="1">
      <c r="A114" s="56" t="str">
        <f>Translations!$B$248</f>
        <v>Spalvotųjų metalų gamyba ar apdirbimas</v>
      </c>
    </row>
    <row r="115" spans="1:1" s="46" customFormat="1">
      <c r="A115" s="56" t="str">
        <f>Translations!$B$111</f>
        <v>Cemento klinkerio gamyba</v>
      </c>
    </row>
    <row r="116" spans="1:1" s="46" customFormat="1">
      <c r="A116" s="56" t="str">
        <f>Translations!$B$249</f>
        <v>Kalkių gamyba arba dolomito ar magnezito kalcinavimas</v>
      </c>
    </row>
    <row r="117" spans="1:1" s="46" customFormat="1">
      <c r="A117" s="56" t="str">
        <f>Translations!$B$250</f>
        <v>Stiklo gamyba</v>
      </c>
    </row>
    <row r="118" spans="1:1" s="46" customFormat="1">
      <c r="A118" s="56" t="str">
        <f>Translations!$B$251</f>
        <v>Keraminių gaminių gamyba</v>
      </c>
    </row>
    <row r="119" spans="1:1" s="46" customFormat="1">
      <c r="A119" s="56" t="str">
        <f>Translations!$B$252</f>
        <v>Akmens vatos gamyba</v>
      </c>
    </row>
    <row r="120" spans="1:1" s="46" customFormat="1">
      <c r="A120" s="56" t="str">
        <f>Translations!$B$253</f>
        <v>Gipso ir gipso kartoninių plokščių gamyba ar apdirbimas</v>
      </c>
    </row>
    <row r="121" spans="1:1" s="46" customFormat="1">
      <c r="A121" s="56" t="str">
        <f>Translations!$B$254</f>
        <v>Celiuliozės gamyba</v>
      </c>
    </row>
    <row r="122" spans="1:1" s="46" customFormat="1">
      <c r="A122" s="56" t="str">
        <f>Translations!$B$255</f>
        <v>Popieriaus ir kartono gamyba</v>
      </c>
    </row>
    <row r="123" spans="1:1" s="46" customFormat="1">
      <c r="A123" s="56" t="str">
        <f>Translations!$B$256</f>
        <v>Suodžių gamyba</v>
      </c>
    </row>
    <row r="124" spans="1:1" s="46" customFormat="1">
      <c r="A124" s="56" t="str">
        <f>Translations!$B$257</f>
        <v>Azoto rūgšties gamyba</v>
      </c>
    </row>
    <row r="125" spans="1:1" s="46" customFormat="1">
      <c r="A125" s="56" t="str">
        <f>Translations!$B$258</f>
        <v>Adipo rūgšties gamyba</v>
      </c>
    </row>
    <row r="126" spans="1:1" s="46" customFormat="1">
      <c r="A126" s="56" t="str">
        <f>Translations!$B$259</f>
        <v>Glioksilo ir glioksilo rūgšties gamyba</v>
      </c>
    </row>
    <row r="127" spans="1:1" s="46" customFormat="1">
      <c r="A127" s="56" t="str">
        <f>Translations!$B$260</f>
        <v>Amoniako gamyba</v>
      </c>
    </row>
    <row r="128" spans="1:1" s="46" customFormat="1">
      <c r="A128" s="55" t="str">
        <f>Translations!$B$261</f>
        <v>Biriųjų cheminių medžiagų gamyba</v>
      </c>
    </row>
    <row r="129" spans="1:1" s="46" customFormat="1">
      <c r="A129" s="56" t="str">
        <f>Translations!$B$262</f>
        <v>Vandenilio ar sintezės dujų gamyba</v>
      </c>
    </row>
    <row r="130" spans="1:1" s="46" customFormat="1">
      <c r="A130" s="56" t="str">
        <f>Translations!$B$263</f>
        <v>Natrio karbonato ir natrio hidrokarbonato gamyba</v>
      </c>
    </row>
    <row r="131" spans="1:1" s="46" customFormat="1">
      <c r="A131" s="56" t="str">
        <f>Translations!$B$264</f>
        <v>ŠESD gaudymas pagal Direktyvą 2009/31/EB</v>
      </c>
    </row>
    <row r="132" spans="1:1" s="46" customFormat="1">
      <c r="A132" s="56" t="str">
        <f>Translations!$B$265</f>
        <v>ŠESD transportavimas pagal Direktyvą 2009/31/EB</v>
      </c>
    </row>
    <row r="133" spans="1:1" s="46" customFormat="1">
      <c r="A133" s="56" t="str">
        <f>Translations!$B$266</f>
        <v>ŠESD saugojimas pagal Direktyvą 2009/31/EB</v>
      </c>
    </row>
    <row r="134" spans="1:1" s="46" customFormat="1">
      <c r="A134" s="51"/>
    </row>
    <row r="135" spans="1:1" s="46" customFormat="1">
      <c r="A135" s="81" t="str">
        <f>Translations!$B$267</f>
        <v>SpecifiedEmissions2</v>
      </c>
    </row>
    <row r="136" spans="1:1" s="46" customFormat="1">
      <c r="A136" s="56" t="s">
        <v>20</v>
      </c>
    </row>
    <row r="137" spans="1:1" s="46" customFormat="1">
      <c r="A137" s="56" t="s">
        <v>21</v>
      </c>
    </row>
    <row r="138" spans="1:1" s="46" customFormat="1">
      <c r="A138" s="56" t="str">
        <f>Translations!$B$268</f>
        <v>PFC</v>
      </c>
    </row>
    <row r="139" spans="1:1" s="46" customFormat="1">
      <c r="A139" s="56" t="str">
        <f>Translations!$B$269</f>
        <v>CO2 ir N2O</v>
      </c>
    </row>
    <row r="140" spans="1:1" s="46" customFormat="1">
      <c r="A140" s="56" t="str">
        <f>Translations!$B$270</f>
        <v>CO2 ir PFC</v>
      </c>
    </row>
    <row r="141" spans="1:1" s="46" customFormat="1"/>
    <row r="142" spans="1:1" s="46" customFormat="1">
      <c r="A142" s="81" t="str">
        <f>Translations!$B$271</f>
        <v>SourceCategory</v>
      </c>
    </row>
    <row r="143" spans="1:1" s="46" customFormat="1">
      <c r="A143" s="56" t="str">
        <f>Translations!$B$135</f>
        <v>Didelis</v>
      </c>
    </row>
    <row r="144" spans="1:1" s="46" customFormat="1">
      <c r="A144" s="56" t="str">
        <f>Translations!$B$272</f>
        <v>Mažas</v>
      </c>
    </row>
    <row r="145" spans="1:3" s="46" customFormat="1">
      <c r="A145" s="56" t="str">
        <f>Translations!$B$273</f>
        <v>Labai mažas</v>
      </c>
    </row>
    <row r="146" spans="1:3" s="46" customFormat="1"/>
    <row r="147" spans="1:3" s="46" customFormat="1">
      <c r="A147" s="81" t="str">
        <f>Translations!$B$274</f>
        <v>SourceCategoryCEMS</v>
      </c>
    </row>
    <row r="148" spans="1:3" s="46" customFormat="1">
      <c r="A148" s="56" t="str">
        <f>Translations!$B$135</f>
        <v>Didelis</v>
      </c>
    </row>
    <row r="149" spans="1:3" s="46" customFormat="1">
      <c r="A149" s="56" t="str">
        <f>Translations!$B$272</f>
        <v>Mažas</v>
      </c>
    </row>
    <row r="150" spans="1:3" s="46" customFormat="1">
      <c r="A150" s="81"/>
    </row>
    <row r="151" spans="1:3" s="46" customFormat="1">
      <c r="A151" s="81"/>
    </row>
    <row r="152" spans="1:3" s="46" customFormat="1">
      <c r="A152" s="81" t="str">
        <f>Translations!$B$275</f>
        <v>AnalysisFrequency</v>
      </c>
    </row>
    <row r="153" spans="1:3" s="46" customFormat="1">
      <c r="A153" s="56" t="str">
        <f>Translations!$B$276</f>
        <v>Nuolat</v>
      </c>
      <c r="C153" s="51"/>
    </row>
    <row r="154" spans="1:3" s="46" customFormat="1">
      <c r="A154" s="56" t="str">
        <f>Translations!$B$277</f>
        <v>kasdien</v>
      </c>
    </row>
    <row r="155" spans="1:3" s="46" customFormat="1">
      <c r="A155" s="56" t="str">
        <f>Translations!$B$159</f>
        <v>kartą per savaitę</v>
      </c>
    </row>
    <row r="156" spans="1:3" s="46" customFormat="1">
      <c r="A156" s="56" t="str">
        <f>Translations!$B$278</f>
        <v>kas mėnesį</v>
      </c>
    </row>
    <row r="157" spans="1:3" s="46" customFormat="1">
      <c r="A157" s="56" t="str">
        <f>Translations!$B$279</f>
        <v>kas ketvirtį</v>
      </c>
    </row>
    <row r="158" spans="1:3" s="46" customFormat="1">
      <c r="A158" s="56" t="str">
        <f>Translations!$B$280</f>
        <v>Dukart per metus</v>
      </c>
    </row>
    <row r="159" spans="1:3" s="46" customFormat="1">
      <c r="A159" s="56" t="str">
        <f>Translations!$B$281</f>
        <v>kasmet</v>
      </c>
    </row>
    <row r="160" spans="1:3" s="46" customFormat="1">
      <c r="A160" s="56"/>
    </row>
    <row r="161" spans="1:1" s="46" customFormat="1">
      <c r="A161" s="51"/>
    </row>
    <row r="162" spans="1:1" s="46" customFormat="1">
      <c r="A162" s="81" t="str">
        <f>Translations!$B$282</f>
        <v>OperationType</v>
      </c>
    </row>
    <row r="163" spans="1:1" s="46" customFormat="1">
      <c r="A163" s="56" t="str">
        <f>Translations!$B$283</f>
        <v>Įprastas režimas</v>
      </c>
    </row>
    <row r="164" spans="1:1" s="46" customFormat="1">
      <c r="A164" s="56" t="str">
        <f>Translations!$B$284</f>
        <v>Neįprastas režimas</v>
      </c>
    </row>
    <row r="165" spans="1:1" s="46" customFormat="1">
      <c r="A165" s="56" t="str">
        <f>Translations!$B$161</f>
        <v>Įprastas ir neįprastas režimas</v>
      </c>
    </row>
    <row r="166" spans="1:1" s="46" customFormat="1"/>
    <row r="167" spans="1:1" s="46" customFormat="1">
      <c r="A167" s="81" t="str">
        <f>Translations!$B$285</f>
        <v>PFCMethods</v>
      </c>
    </row>
    <row r="168" spans="1:1" s="46" customFormat="1">
      <c r="A168" s="56" t="str">
        <f>Translations!$B$286</f>
        <v>A metodas = nuolydžio metodas</v>
      </c>
    </row>
    <row r="169" spans="1:1" s="46" customFormat="1">
      <c r="A169" s="56" t="str">
        <f>Translations!$B$287</f>
        <v>B metodas = viršįtampio metodas</v>
      </c>
    </row>
    <row r="170" spans="1:1" s="46" customFormat="1"/>
    <row r="171" spans="1:1" s="46" customFormat="1">
      <c r="A171" s="81" t="str">
        <f>Translations!$B$288</f>
        <v>PFCCellTypes</v>
      </c>
    </row>
    <row r="172" spans="1:1" s="46" customFormat="1">
      <c r="A172" s="115" t="str">
        <f>Translations!$B$859</f>
        <v>Medžiaga – Tiekimas į vonių su termiškai apdorotais perforuotais anodais centrą (CWPB)</v>
      </c>
    </row>
    <row r="173" spans="1:1" s="46" customFormat="1">
      <c r="A173" s="115" t="str">
        <f>Translations!$B$860</f>
        <v>Medžiaga – Sioderbergo vonia su vertikaliais strypais (VSS)</v>
      </c>
    </row>
    <row r="174" spans="1:1" s="46" customFormat="1">
      <c r="A174" s="115" t="str">
        <f>Translations!$B$861</f>
        <v>Medžiaga – Tiekimas į vonių su termiškai apdorotais perforuotais anodais kraštą (SWPB)</v>
      </c>
    </row>
    <row r="175" spans="1:1" s="46" customFormat="1">
      <c r="A175" s="115" t="str">
        <f>Translations!$B$862</f>
        <v>Medžiaga – Sioderbergo vonia su horizontaliais strypais (HSS)</v>
      </c>
    </row>
    <row r="176" spans="1:1" s="46" customFormat="1"/>
    <row r="177" spans="1:3" s="46" customFormat="1">
      <c r="A177" s="81" t="s">
        <v>438</v>
      </c>
    </row>
    <row r="178" spans="1:3" s="46" customFormat="1">
      <c r="A178" s="55" t="str">
        <f>Translations!$B$863</f>
        <v>1/(vienoje elektrolizės vonioje per parą)</v>
      </c>
    </row>
    <row r="179" spans="1:3" s="46" customFormat="1">
      <c r="A179" s="55" t="str">
        <f>Translations!$B$864</f>
        <v>min.</v>
      </c>
    </row>
    <row r="180" spans="1:3" s="46" customFormat="1">
      <c r="A180" s="55" t="str">
        <f>Translations!$B$865</f>
        <v>(kg CF4/t Al)/(min./vienoje elektrolizės vonioje per parą)</v>
      </c>
    </row>
    <row r="181" spans="1:3" s="46" customFormat="1">
      <c r="A181" s="55" t="s">
        <v>439</v>
      </c>
    </row>
    <row r="182" spans="1:3" s="46" customFormat="1">
      <c r="A182" s="55" t="s">
        <v>0</v>
      </c>
    </row>
    <row r="183" spans="1:3" s="46" customFormat="1">
      <c r="A183" s="55" t="str">
        <f>Translations!$B$866</f>
        <v>(kg CF4)/(t Al mV)</v>
      </c>
    </row>
    <row r="184" spans="1:3" s="46" customFormat="1">
      <c r="A184" s="55" t="str">
        <f>Translations!$B$867</f>
        <v>t C2F6/t CF4</v>
      </c>
    </row>
    <row r="185" spans="1:3" s="46" customFormat="1"/>
    <row r="186" spans="1:3" s="46" customFormat="1">
      <c r="A186" s="83" t="str">
        <f>Translations!$B$289</f>
        <v>MeteringDevices</v>
      </c>
    </row>
    <row r="187" spans="1:3" s="46" customFormat="1">
      <c r="A187" s="56" t="str">
        <f>Translations!$B$136</f>
        <v>Sukusis skaitiklis</v>
      </c>
      <c r="C187" s="51"/>
    </row>
    <row r="188" spans="1:3" s="46" customFormat="1">
      <c r="A188" s="56" t="str">
        <f>Translations!$B$290</f>
        <v>Turbininis skaitiklis</v>
      </c>
      <c r="C188" s="51"/>
    </row>
    <row r="189" spans="1:3" s="46" customFormat="1">
      <c r="A189" s="56" t="str">
        <f>Translations!$B$291</f>
        <v>Dumblinis skaitiklis</v>
      </c>
      <c r="C189" s="51"/>
    </row>
    <row r="190" spans="1:3" s="46" customFormat="1">
      <c r="A190" s="56" t="str">
        <f>Translations!$B$292</f>
        <v>Matavimas tūta</v>
      </c>
      <c r="C190" s="51"/>
    </row>
    <row r="191" spans="1:3" s="46" customFormat="1">
      <c r="A191" s="56" t="str">
        <f>Translations!$B$293</f>
        <v>Venturi debitmatis</v>
      </c>
      <c r="C191" s="51"/>
    </row>
    <row r="192" spans="1:3" s="46" customFormat="1">
      <c r="A192" s="56" t="str">
        <f>Translations!$B$294</f>
        <v>Ultragarsinis skaitiklis</v>
      </c>
      <c r="C192" s="51"/>
    </row>
    <row r="193" spans="1:3" s="46" customFormat="1">
      <c r="A193" s="56" t="str">
        <f>Translations!$B$295</f>
        <v>Sukūrinis skaitiklis</v>
      </c>
      <c r="C193" s="86"/>
    </row>
    <row r="194" spans="1:3" s="46" customFormat="1">
      <c r="A194" s="56" t="str">
        <f>Translations!$B$296</f>
        <v>Coriolis matuoklis</v>
      </c>
    </row>
    <row r="195" spans="1:3" s="46" customFormat="1">
      <c r="A195" s="56" t="str">
        <f>Translations!$B$868</f>
        <v>Ovalinių krumplinių pavarų matuoklis</v>
      </c>
    </row>
    <row r="196" spans="1:3" s="46" customFormat="1">
      <c r="A196" s="56" t="str">
        <f>Translations!$B$297</f>
        <v>Elektroninė tūrio konvertavimo priemonė (EVCI)</v>
      </c>
    </row>
    <row r="197" spans="1:3" s="46" customFormat="1">
      <c r="A197" s="56" t="str">
        <f>Translations!$B$298</f>
        <v>dujų chromatografas</v>
      </c>
    </row>
    <row r="198" spans="1:3" s="46" customFormat="1">
      <c r="A198" s="55" t="str">
        <f>Translations!$B$137</f>
        <v>Tiltinės svarstyklės</v>
      </c>
    </row>
    <row r="199" spans="1:3" s="46" customFormat="1">
      <c r="A199" s="55" t="str">
        <f>Translations!$B$299</f>
        <v>Sveriančioji konvejerio juosta</v>
      </c>
    </row>
    <row r="200" spans="1:3" s="46" customFormat="1">
      <c r="A200" s="56"/>
    </row>
    <row r="201" spans="1:3" s="46" customFormat="1"/>
    <row r="202" spans="1:3" s="46" customFormat="1">
      <c r="A202" s="81" t="str">
        <f>Translations!$B$300</f>
        <v>MeasurementTiers</v>
      </c>
    </row>
    <row r="203" spans="1:3" s="46" customFormat="1">
      <c r="A203" s="57">
        <v>1</v>
      </c>
    </row>
    <row r="204" spans="1:3" s="46" customFormat="1">
      <c r="A204" s="57">
        <v>2</v>
      </c>
    </row>
    <row r="205" spans="1:3" s="46" customFormat="1">
      <c r="A205" s="57">
        <v>3</v>
      </c>
    </row>
    <row r="206" spans="1:3" s="46" customFormat="1">
      <c r="A206" s="57">
        <v>4</v>
      </c>
    </row>
    <row r="207" spans="1:3" s="46" customFormat="1"/>
    <row r="208" spans="1:3" s="46" customFormat="1">
      <c r="A208" s="81" t="str">
        <f>Translations!$B$301</f>
        <v>PFCTiers</v>
      </c>
    </row>
    <row r="209" spans="1:3" s="46" customFormat="1">
      <c r="A209" s="57">
        <v>1</v>
      </c>
    </row>
    <row r="210" spans="1:3" s="46" customFormat="1">
      <c r="A210" s="57">
        <v>2</v>
      </c>
    </row>
    <row r="211" spans="1:3" s="46" customFormat="1"/>
    <row r="212" spans="1:3" s="46" customFormat="1">
      <c r="A212" s="81" t="str">
        <f>Translations!$B$302</f>
        <v>BiomassTiers</v>
      </c>
    </row>
    <row r="213" spans="1:3" s="46" customFormat="1">
      <c r="A213" s="57">
        <v>1</v>
      </c>
    </row>
    <row r="214" spans="1:3" s="46" customFormat="1">
      <c r="A214" s="57">
        <v>2</v>
      </c>
    </row>
    <row r="215" spans="1:3" s="46" customFormat="1">
      <c r="A215" s="56" t="str">
        <f>EUconst_NoTier</f>
        <v>Nėra pakopos</v>
      </c>
    </row>
    <row r="216" spans="1:3" s="46" customFormat="1">
      <c r="A216" s="56" t="str">
        <f>EUconst_NA</f>
        <v>netaik.</v>
      </c>
    </row>
    <row r="217" spans="1:3" s="46" customFormat="1">
      <c r="A217" s="84"/>
    </row>
    <row r="218" spans="1:3" s="46" customFormat="1">
      <c r="A218" s="81" t="str">
        <f>Translations!$B$303</f>
        <v>ConversionFactorTiers</v>
      </c>
    </row>
    <row r="219" spans="1:3" s="46" customFormat="1">
      <c r="A219" s="57">
        <v>1</v>
      </c>
    </row>
    <row r="220" spans="1:3" s="46" customFormat="1">
      <c r="A220" s="57">
        <v>2</v>
      </c>
    </row>
    <row r="221" spans="1:3">
      <c r="A221" s="56" t="str">
        <f>EUconst_NoTier</f>
        <v>Nėra pakopos</v>
      </c>
      <c r="C221" s="46"/>
    </row>
    <row r="222" spans="1:3">
      <c r="A222" s="56" t="str">
        <f>EUconst_NA</f>
        <v>netaik.</v>
      </c>
      <c r="C222" s="46"/>
    </row>
    <row r="224" spans="1:3">
      <c r="A224" s="81" t="str">
        <f>Translations!$B$304</f>
        <v>ActivityDataTiers</v>
      </c>
    </row>
    <row r="225" spans="1:1">
      <c r="A225" s="85">
        <v>1</v>
      </c>
    </row>
    <row r="226" spans="1:1">
      <c r="A226" s="57">
        <v>2</v>
      </c>
    </row>
    <row r="227" spans="1:1">
      <c r="A227" s="57">
        <v>3</v>
      </c>
    </row>
    <row r="228" spans="1:1">
      <c r="A228" s="57">
        <v>4</v>
      </c>
    </row>
    <row r="229" spans="1:1">
      <c r="A229" s="56" t="str">
        <f>EUconst_NoTier</f>
        <v>Nėra pakopos</v>
      </c>
    </row>
    <row r="230" spans="1:1">
      <c r="A230" s="56" t="str">
        <f>EUconst_NA</f>
        <v>netaik.</v>
      </c>
    </row>
    <row r="231" spans="1:1">
      <c r="A231" s="46"/>
    </row>
    <row r="232" spans="1:1">
      <c r="A232" s="81" t="str">
        <f>Translations!$B$305</f>
        <v>NCVTiers</v>
      </c>
    </row>
    <row r="233" spans="1:1">
      <c r="A233" s="57">
        <v>1</v>
      </c>
    </row>
    <row r="234" spans="1:1">
      <c r="A234" s="56" t="s">
        <v>265</v>
      </c>
    </row>
    <row r="235" spans="1:1">
      <c r="A235" s="56" t="str">
        <f>Translations!$B$306</f>
        <v>2b</v>
      </c>
    </row>
    <row r="236" spans="1:1">
      <c r="A236" s="57">
        <v>3</v>
      </c>
    </row>
    <row r="237" spans="1:1">
      <c r="A237" s="56" t="str">
        <f>EUconst_NoTier</f>
        <v>Nėra pakopos</v>
      </c>
    </row>
    <row r="238" spans="1:1">
      <c r="A238" s="56" t="str">
        <f>EUconst_NA</f>
        <v>netaik.</v>
      </c>
    </row>
    <row r="239" spans="1:1">
      <c r="A239" s="51"/>
    </row>
    <row r="240" spans="1:1">
      <c r="A240" s="81" t="str">
        <f>Translations!$B$307</f>
        <v>EFTiers</v>
      </c>
    </row>
    <row r="241" spans="1:1">
      <c r="A241" s="57">
        <v>1</v>
      </c>
    </row>
    <row r="242" spans="1:1">
      <c r="A242" s="57">
        <v>2</v>
      </c>
    </row>
    <row r="243" spans="1:1">
      <c r="A243" s="56" t="s">
        <v>265</v>
      </c>
    </row>
    <row r="244" spans="1:1">
      <c r="A244" s="56" t="str">
        <f>Translations!$B$306</f>
        <v>2b</v>
      </c>
    </row>
    <row r="245" spans="1:1">
      <c r="A245" s="57">
        <v>3</v>
      </c>
    </row>
    <row r="246" spans="1:1">
      <c r="A246" s="56" t="str">
        <f>EUconst_NoTier</f>
        <v>Nėra pakopos</v>
      </c>
    </row>
    <row r="248" spans="1:1">
      <c r="A248" s="81" t="str">
        <f>Translations!$B$308</f>
        <v>CarbonContentTiers</v>
      </c>
    </row>
    <row r="249" spans="1:1">
      <c r="A249" s="57">
        <v>1</v>
      </c>
    </row>
    <row r="250" spans="1:1">
      <c r="A250" s="56" t="s">
        <v>265</v>
      </c>
    </row>
    <row r="251" spans="1:1">
      <c r="A251" s="56" t="str">
        <f>Translations!$B$306</f>
        <v>2b</v>
      </c>
    </row>
    <row r="252" spans="1:1">
      <c r="A252" s="57">
        <v>3</v>
      </c>
    </row>
    <row r="253" spans="1:1">
      <c r="A253" s="56" t="str">
        <f>EUconst_NoTier</f>
        <v>Nėra pakopos</v>
      </c>
    </row>
    <row r="254" spans="1:1">
      <c r="A254" s="56" t="str">
        <f>EUconst_NA</f>
        <v>netaik.</v>
      </c>
    </row>
    <row r="256" spans="1:1">
      <c r="A256" s="60" t="s">
        <v>546</v>
      </c>
    </row>
    <row r="257" spans="1:1">
      <c r="A257" s="65" t="str">
        <f>EUconst_GJpt</f>
        <v>GJ/t</v>
      </c>
    </row>
    <row r="258" spans="1:1">
      <c r="A258" s="65" t="str">
        <f>EUconst_GJpkNm3</f>
        <v>GJ/1 000 Nm3</v>
      </c>
    </row>
    <row r="259" spans="1:1">
      <c r="A259" s="57" t="str">
        <f>EUconst_NA</f>
        <v>netaik.</v>
      </c>
    </row>
    <row r="261" spans="1:1">
      <c r="A261" s="60" t="s">
        <v>545</v>
      </c>
    </row>
    <row r="262" spans="1:1">
      <c r="A262" s="65" t="str">
        <f>EUconst_tCO2pTJ</f>
        <v>tCO2/TJ</v>
      </c>
    </row>
    <row r="263" spans="1:1">
      <c r="A263" s="65" t="str">
        <f>EUconst_tCO2pt</f>
        <v>tCO2/t</v>
      </c>
    </row>
    <row r="264" spans="1:1">
      <c r="A264" s="65" t="str">
        <f>EUconst_tCO2pkNm3</f>
        <v>tCO2/1 000 Nm3</v>
      </c>
    </row>
    <row r="266" spans="1:1">
      <c r="A266" s="60" t="s">
        <v>350</v>
      </c>
    </row>
    <row r="267" spans="1:1">
      <c r="A267" s="65" t="s">
        <v>0</v>
      </c>
    </row>
    <row r="268" spans="1:1">
      <c r="A268" s="65"/>
    </row>
    <row r="271" spans="1:1" s="82" customFormat="1"/>
    <row r="273" spans="1:12" ht="13.5" thickBot="1">
      <c r="B273" s="60" t="str">
        <f>Translations!$B$309</f>
        <v>Directive Annex I</v>
      </c>
      <c r="D273" s="46"/>
      <c r="E273" s="1710" t="str">
        <f>Translations!$B$310</f>
        <v>Special activities</v>
      </c>
      <c r="F273" s="1710"/>
      <c r="G273" s="1710"/>
      <c r="H273" s="1710"/>
      <c r="I273" s="60" t="str">
        <f>Translations!$B$110</f>
        <v>Išmestos ŠESD</v>
      </c>
      <c r="J273" s="87" t="s">
        <v>581</v>
      </c>
    </row>
    <row r="274" spans="1:12">
      <c r="A274" s="19">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6"/>
      <c r="L274" s="46"/>
    </row>
    <row r="275" spans="1:12">
      <c r="A275" s="20">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6"/>
      <c r="L275" s="67"/>
    </row>
    <row r="276" spans="1:12">
      <c r="A276" s="20">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6"/>
      <c r="L276" s="50"/>
    </row>
    <row r="277" spans="1:12">
      <c r="A277" s="20">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6"/>
      <c r="L277" s="67"/>
    </row>
    <row r="278" spans="1:12">
      <c r="A278" s="20">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6"/>
      <c r="L278" s="67"/>
    </row>
    <row r="279" spans="1:12">
      <c r="A279" s="20">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6"/>
      <c r="L279" s="67"/>
    </row>
    <row r="280" spans="1:12">
      <c r="A280" s="20">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6"/>
      <c r="L280" s="67"/>
    </row>
    <row r="281" spans="1:12">
      <c r="A281" s="20">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6"/>
      <c r="L281" s="67"/>
    </row>
    <row r="282" spans="1:12">
      <c r="A282" s="20">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6"/>
      <c r="L282" s="67"/>
    </row>
    <row r="283" spans="1:12">
      <c r="A283" s="20">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6"/>
      <c r="L283" s="67"/>
    </row>
    <row r="284" spans="1:12">
      <c r="A284" s="20">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6"/>
      <c r="L284" s="67"/>
    </row>
    <row r="285" spans="1:12">
      <c r="A285" s="20">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6"/>
      <c r="L285" s="67"/>
    </row>
    <row r="286" spans="1:12">
      <c r="A286" s="20">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6"/>
      <c r="L286" s="67"/>
    </row>
    <row r="287" spans="1:12">
      <c r="A287" s="20">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6"/>
      <c r="L287" s="67"/>
    </row>
    <row r="288" spans="1:12">
      <c r="A288" s="20">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6"/>
      <c r="L288" s="67"/>
    </row>
    <row r="289" spans="1:12">
      <c r="A289" s="20">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6"/>
      <c r="L289" s="67"/>
    </row>
    <row r="290" spans="1:12">
      <c r="A290" s="20">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6"/>
      <c r="L290" s="67"/>
    </row>
    <row r="291" spans="1:12">
      <c r="A291" s="20">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6"/>
      <c r="L291" s="67"/>
    </row>
    <row r="292" spans="1:12">
      <c r="A292" s="20">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6"/>
      <c r="L292" s="67"/>
    </row>
    <row r="293" spans="1:12">
      <c r="A293" s="20">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6"/>
      <c r="L293" s="67"/>
    </row>
    <row r="294" spans="1:12">
      <c r="A294" s="20">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6"/>
      <c r="L294" s="67"/>
    </row>
    <row r="295" spans="1:12">
      <c r="A295" s="20">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6"/>
      <c r="L295" s="67"/>
    </row>
    <row r="296" spans="1:12">
      <c r="A296" s="20">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6"/>
      <c r="L296" s="67"/>
    </row>
    <row r="297" spans="1:12">
      <c r="A297" s="20">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6"/>
      <c r="L297" s="67"/>
    </row>
    <row r="298" spans="1:12">
      <c r="A298" s="20">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6"/>
      <c r="L298" s="67"/>
    </row>
    <row r="299" spans="1:12">
      <c r="A299" s="20">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6"/>
      <c r="L299" s="67"/>
    </row>
    <row r="300" spans="1:12">
      <c r="A300" s="20">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6"/>
      <c r="L300" s="67"/>
    </row>
    <row r="301" spans="1:12" ht="13.5" thickBot="1">
      <c r="A301" s="20">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6"/>
      <c r="L301" s="67"/>
    </row>
    <row r="304" spans="1:12" s="82" customFormat="1"/>
    <row r="306" spans="2:5" ht="13.5" thickBot="1">
      <c r="B306" s="60" t="s">
        <v>579</v>
      </c>
      <c r="C306" s="60" t="s">
        <v>580</v>
      </c>
      <c r="E306" s="60" t="s">
        <v>599</v>
      </c>
    </row>
    <row r="307" spans="2:5">
      <c r="B307" s="1285" t="str">
        <f>Translations!B1152</f>
        <v>1A1a - Energija - Viešoji elektros ir šilumos gamyba</v>
      </c>
      <c r="C307" s="1074" t="str">
        <f>Translations!B1182</f>
        <v>2A1 - Procesas - Cemento gamyba</v>
      </c>
      <c r="E307" s="1074" t="str">
        <f>Translations!$B$114</f>
        <v>MW(šil)</v>
      </c>
    </row>
    <row r="308" spans="2:5">
      <c r="B308" s="1286" t="str">
        <f>Translations!B1153</f>
        <v>1A1b - Energija - Naftos perdirbimas</v>
      </c>
      <c r="C308" s="1075" t="str">
        <f>Translations!B1183</f>
        <v>2A2 - Procesas - Kalkių gamyba</v>
      </c>
      <c r="E308" s="1075" t="str">
        <f>Translations!$B$112</f>
        <v>t per dieną</v>
      </c>
    </row>
    <row r="309" spans="2:5">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c r="B310" s="1286" t="str">
        <f>Translations!B1155</f>
        <v>1A2a - Energija - Geležies ir plieno gamyba</v>
      </c>
      <c r="C310" s="1075" t="str">
        <f>Translations!B1185</f>
        <v>2A4 - Procesas - Kiti mineralų pramonės procesai naudojantys karbonatus (nurodykite tiksliai)</v>
      </c>
      <c r="D310" s="46"/>
      <c r="E310" s="1076"/>
    </row>
    <row r="311" spans="2:5">
      <c r="B311" s="1286" t="str">
        <f>Translations!B1156</f>
        <v>1A2b - Energija - Spalvotųjų metalų gamyba arba perdirbimas</v>
      </c>
      <c r="C311" s="1075" t="str">
        <f>Translations!B1186</f>
        <v>2B1 - Procesas - Amoniako gamyba</v>
      </c>
      <c r="D311" s="46"/>
    </row>
    <row r="312" spans="2:5">
      <c r="B312" s="1286" t="str">
        <f>Translations!B1157</f>
        <v>1A2c - Energija - Chemijos pramonė</v>
      </c>
      <c r="C312" s="1075" t="str">
        <f>Translations!B1187</f>
        <v>2B2 - Procesas - Azoto rūgšties gamyba</v>
      </c>
      <c r="D312" s="46"/>
    </row>
    <row r="313" spans="2:5">
      <c r="B313" s="1286" t="str">
        <f>Translations!B1158</f>
        <v>1A2d - Energija - Popieriaus ir popieriaus masės gamyba</v>
      </c>
      <c r="C313" s="1075" t="str">
        <f>Translations!B1188</f>
        <v>2B3 - Procesas - Adipo rūgšties gamyba</v>
      </c>
      <c r="D313" s="46"/>
    </row>
    <row r="314" spans="2:5">
      <c r="B314" s="1286" t="str">
        <f>Translations!B1159</f>
        <v>1A2e - Energija - Maisto perdirbimo, gėrimų, tabako gamyba</v>
      </c>
      <c r="C314" s="1075" t="str">
        <f>Translations!B1189</f>
        <v>2B4 - Procesas - Kaprolaktamo, glioksalio ir glioksilo rūgšties gamyba</v>
      </c>
    </row>
    <row r="315" spans="2:5">
      <c r="B315" s="1286" t="str">
        <f>Translations!B1160</f>
        <v>1A2f - Energija - Nemetalų mineralų produktų gamyba</v>
      </c>
      <c r="C315" s="1075" t="str">
        <f>Translations!B1190</f>
        <v>2B5 - Procesas - Karbido gamyba</v>
      </c>
    </row>
    <row r="316" spans="2:5">
      <c r="B316" s="1286" t="str">
        <f>Translations!B1161</f>
        <v>1A2g - Energija - Kita (nurodykite tiksliai)</v>
      </c>
      <c r="C316" s="1075" t="str">
        <f>Translations!B1191</f>
        <v>2B6 - Procesas - Titano dioksido gamyba</v>
      </c>
    </row>
    <row r="317" spans="2:5">
      <c r="B317" s="1286" t="str">
        <f>Translations!B1162</f>
        <v>1A3a - Energija - Civilinės aviacijos sektorius (šalies viduje)</v>
      </c>
      <c r="C317" s="1075" t="str">
        <f>Translations!B1192</f>
        <v>2B7 - Procesas - Sodos gamyba</v>
      </c>
    </row>
    <row r="318" spans="2:5">
      <c r="B318" s="1286" t="str">
        <f>Translations!B1163</f>
        <v>1A3b - Energija - Kelių transporto sektorius</v>
      </c>
      <c r="C318" s="1075" t="str">
        <f>Translations!B1193</f>
        <v>2B8 - Procesas - Naftos ir suodžių gamyba</v>
      </c>
    </row>
    <row r="319" spans="2:5">
      <c r="B319" s="1286" t="str">
        <f>Translations!B1164</f>
        <v>1A3c - Energija - Geležinkelių sektorius</v>
      </c>
      <c r="C319" s="1075" t="str">
        <f>Translations!B1194</f>
        <v>2B9 - Procesas - Fluorintų cheminių medžiagų gamyba</v>
      </c>
    </row>
    <row r="320" spans="2:5">
      <c r="B320" s="1286" t="str">
        <f>Translations!B1165</f>
        <v>1A3d - Energija - Laivybos sektorius (šalies viduje)</v>
      </c>
      <c r="C320" s="1075" t="str">
        <f>Translations!B1195</f>
        <v>2B10 - Procesas - Kiti chemijos pramonės procesai (nurodykite tiksliai)</v>
      </c>
    </row>
    <row r="321" spans="2:3">
      <c r="B321" s="1286" t="str">
        <f>Translations!B1166</f>
        <v>1A3e - Energija - Kitos transporto rūšys</v>
      </c>
      <c r="C321" s="1075" t="str">
        <f>Translations!B1196</f>
        <v>2C1 - Procesas - Geležies ir plieno gamyba gamyba</v>
      </c>
    </row>
    <row r="322" spans="2:3">
      <c r="B322" s="1286" t="str">
        <f>Translations!B1167</f>
        <v>1A4a - Energija - Komercijos/Institucinis sektorius</v>
      </c>
      <c r="C322" s="1075" t="str">
        <f>Translations!B1197</f>
        <v>2C2 - Procesas - Geležies lydinių gamyba</v>
      </c>
    </row>
    <row r="323" spans="2:3">
      <c r="B323" s="1286" t="str">
        <f>Translations!B1168</f>
        <v>1A4b - Energija - Namų ūkio sektorius</v>
      </c>
      <c r="C323" s="1075" t="str">
        <f>Translations!B1198</f>
        <v>2C3 - Procesas - Aliuminio gamyba</v>
      </c>
    </row>
    <row r="324" spans="2:3">
      <c r="B324" s="1286" t="str">
        <f>Translations!B1169</f>
        <v>1A4c - Energija - Žemės ūkio/Miškininkystės/Žvejybos sektorius</v>
      </c>
      <c r="C324" s="1075" t="str">
        <f>Translations!B1199</f>
        <v>2C4 - Procesas - Magnio gamyba</v>
      </c>
    </row>
    <row r="325" spans="2:3">
      <c r="B325" s="1286" t="str">
        <f>Translations!B1170</f>
        <v>1A5a - Energija - Stacionarus kuro deginimas</v>
      </c>
      <c r="C325" s="1075" t="str">
        <f>Translations!B1200</f>
        <v>2C5 - Procesas - Švino gamyba</v>
      </c>
    </row>
    <row r="326" spans="2:3">
      <c r="B326" s="1286" t="str">
        <f>Translations!B1171</f>
        <v>1A5b - Energija - Mobilus kuro deginimas (nurodykite tiksliai)</v>
      </c>
      <c r="C326" s="1075" t="str">
        <f>Translations!B1201</f>
        <v>2C6 - Procesas - Cinko gamyba</v>
      </c>
    </row>
    <row r="327" spans="2:3">
      <c r="B327" s="1286" t="str">
        <f>Translations!B1172</f>
        <v>1B1a - Energija - Neorganizuoti ŠESD išmetimai anglių kasybos ir tolimesnio tvarkymo sektoriuje</v>
      </c>
      <c r="C327" s="1075" t="str">
        <f>Translations!B1202</f>
        <v>2C7 - Procesas - Kiti metalų pramonės procesai (nurodykite tiksliai)</v>
      </c>
    </row>
    <row r="328" spans="2:3">
      <c r="B328" s="1286" t="str">
        <f>Translations!B1173</f>
        <v>1B1b - Energija - Neorganizuoti ŠESD išmetimai kietosios kuro perdirbimo metu</v>
      </c>
      <c r="C328" s="1075" t="str">
        <f>Translations!B1203</f>
        <v>2D1 - Procesas - Teplaų, alyvų naudojimas</v>
      </c>
    </row>
    <row r="329" spans="2:3">
      <c r="B329" s="1286" t="str">
        <f>Translations!B1174</f>
        <v>1B1c - Energija - Kita (nurodykite tiksliai)</v>
      </c>
      <c r="C329" s="1075" t="str">
        <f>Translations!B1204</f>
        <v>2D2 - Procesas - Vaško, parafino naudojimas</v>
      </c>
    </row>
    <row r="330" spans="2:3">
      <c r="B330" s="1286" t="str">
        <f>Translations!B1175</f>
        <v>1B2a - Energija - Neorganizuoti ŠESD išmetimai naftos gavybos metu</v>
      </c>
      <c r="C330" s="1075" t="str">
        <f>Translations!B1205</f>
        <v>2D3 - Procesas - Kiti neenergetiniai kuro ir tipiklių produktų gamybos procesai (nurodykite tiksliai)</v>
      </c>
    </row>
    <row r="331" spans="2:3">
      <c r="B331" s="1286" t="str">
        <f>Translations!B1176</f>
        <v>1B2b - Energija - Neorganizuoti ŠESD išmetimai gamtinių dujų gavybos metu</v>
      </c>
      <c r="C331" s="1075" t="str">
        <f>Translations!B1206</f>
        <v>2E1 - Integruotų kontūrų ir puslaidininkių gamyba</v>
      </c>
    </row>
    <row r="332" spans="2:3">
      <c r="B332" s="1286" t="str">
        <f>Translations!B1177</f>
        <v>1B2c - Energija - Neorganizuoti ŠESD išmetimai naftos ir/ar gamtinių dujų gavybos metu dujas ventiliuojant ar deginant degluose</v>
      </c>
      <c r="C332" s="1075" t="str">
        <f>Translations!B1207</f>
        <v>2E2 - TFT plokčiųjų ekranų gamyba</v>
      </c>
    </row>
    <row r="333" spans="2:3">
      <c r="B333" s="1286" t="str">
        <f>Translations!B1178</f>
        <v>1B2d - Energija - Kiti neorganizuoti ŠESD išmetimai (nurodykite tiksliai)</v>
      </c>
      <c r="C333" s="1075" t="str">
        <f>Translations!B1208</f>
        <v>2E3 - Fotoelektros pramonė</v>
      </c>
    </row>
    <row r="334" spans="2:3">
      <c r="B334" s="1286" t="str">
        <f>Translations!B1179</f>
        <v>1C1 - CO2 transportavimas geologiniam saugojimui</v>
      </c>
      <c r="C334" s="1075" t="str">
        <f>Translations!B1209</f>
        <v>2E4 - Šilumos pernešėjų gamyba</v>
      </c>
    </row>
    <row r="335" spans="2:3">
      <c r="B335" s="1286" t="str">
        <f>Translations!B1180</f>
        <v>1C2 - CO2 geologinis saugojimas</v>
      </c>
      <c r="C335" s="1075" t="str">
        <f>Translations!B1210</f>
        <v>2E5 - Kita elektronikos pramonės šaka (nurodykite tiksliai)</v>
      </c>
    </row>
    <row r="336" spans="2:3" ht="13.5" thickBot="1">
      <c r="B336" s="1287" t="str">
        <f>Translations!B1181</f>
        <v>5C - Atliekų deginimas</v>
      </c>
      <c r="C336" s="1075" t="str">
        <f>Translations!B1211</f>
        <v>2F1 - Šaldymo ir oro kondicionavimo sektorius</v>
      </c>
    </row>
    <row r="337" spans="2:24">
      <c r="C337" s="1075" t="str">
        <f>Translations!B1212</f>
        <v>2F2 - Putų pūtimo agentų sektorius</v>
      </c>
    </row>
    <row r="338" spans="2:24">
      <c r="C338" s="1075" t="str">
        <f>Translations!B1213</f>
        <v>2F3 - Priešgaisrinės apsaugos sektorius</v>
      </c>
    </row>
    <row r="339" spans="2:24">
      <c r="C339" s="1075" t="str">
        <f>Translations!B1214</f>
        <v>2F4 - Aerosolių sektorius</v>
      </c>
    </row>
    <row r="340" spans="2:24">
      <c r="C340" s="1075" t="str">
        <f>Translations!B1215</f>
        <v>2F5 - Tirpiklių sektorius</v>
      </c>
    </row>
    <row r="341" spans="2:24">
      <c r="C341" s="1075" t="str">
        <f>Translations!B1216</f>
        <v xml:space="preserve">2F6 - Kiti sektoriai, naudojantys ozoną ardančių medžiagų pakaitalus </v>
      </c>
    </row>
    <row r="342" spans="2:24">
      <c r="C342" s="1075" t="str">
        <f>Translations!B1217</f>
        <v>2G1 - Procesas - Elektros įrangos sektorius</v>
      </c>
    </row>
    <row r="343" spans="2:24">
      <c r="C343" s="1075" t="str">
        <f>Translations!B1218</f>
        <v>2G2 - Procesas - SF6 ir PFC išmetimai naudojant kitus produktus</v>
      </c>
    </row>
    <row r="344" spans="2:24">
      <c r="C344" s="1075" t="str">
        <f>Translations!B1219</f>
        <v>2G3 - Procesas - N2O išmetimai naudojant kitus produktus</v>
      </c>
    </row>
    <row r="345" spans="2:24">
      <c r="C345" s="1075" t="str">
        <f>Translations!B1220</f>
        <v>2G4 - Procesas - ŠESD išmetimai kitų produktų gamyboje ir naudojime (nurodykite tiksliai)</v>
      </c>
    </row>
    <row r="346" spans="2:24">
      <c r="C346" s="1075" t="str">
        <f>Translations!B1221</f>
        <v>2H1 - Procesas - Popieriaus ir porpieriaus masės gamyba</v>
      </c>
    </row>
    <row r="347" spans="2:24">
      <c r="C347" s="1075" t="str">
        <f>Translations!B1222</f>
        <v>2H2 - Procesas - Maisto ir gėrimų gamyba</v>
      </c>
    </row>
    <row r="348" spans="2:24" ht="13.5" thickBot="1">
      <c r="C348" s="1076" t="str">
        <f>Translations!B1223</f>
        <v>2H3 - Kiti pramonės procesai (nurodykite tiksliai)</v>
      </c>
    </row>
    <row r="349" spans="2:24" s="82" customFormat="1"/>
    <row r="351" spans="2:24" s="88" customFormat="1">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2"/>
      <c r="X362" s="60" t="b">
        <f t="shared" si="3"/>
        <v>0</v>
      </c>
    </row>
    <row r="363" spans="1:24" ht="12.75" customHeight="1" outlineLevel="1">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2"/>
      <c r="X363" s="60" t="b">
        <f t="shared" si="3"/>
        <v>0</v>
      </c>
    </row>
    <row r="364" spans="1:24" ht="12.75" customHeight="1" outlineLevel="1">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2"/>
      <c r="X364" s="60" t="b">
        <f t="shared" si="3"/>
        <v>0</v>
      </c>
    </row>
    <row r="365" spans="1:24" ht="12.75" customHeight="1" outlineLevel="1">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2"/>
      <c r="X365" s="60" t="b">
        <f t="shared" si="3"/>
        <v>0</v>
      </c>
    </row>
    <row r="366" spans="1:24" ht="12.75" customHeight="1" outlineLevel="1">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2"/>
      <c r="X366" s="60" t="b">
        <f t="shared" si="3"/>
        <v>0</v>
      </c>
    </row>
    <row r="367" spans="1:24" ht="12.75" customHeight="1" outlineLevel="1">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2"/>
      <c r="X367" s="60" t="b">
        <f t="shared" si="3"/>
        <v>0</v>
      </c>
    </row>
    <row r="368" spans="1:24" ht="12.75" customHeight="1" outlineLevel="1">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2"/>
      <c r="X368" s="60" t="b">
        <f t="shared" si="3"/>
        <v>0</v>
      </c>
    </row>
    <row r="369" spans="1:24" ht="12.75" customHeight="1" outlineLevel="1">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2"/>
      <c r="X369" s="60" t="b">
        <f t="shared" si="3"/>
        <v>0</v>
      </c>
    </row>
    <row r="370" spans="1:24" ht="12.75" customHeight="1" outlineLevel="1">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2"/>
      <c r="X370" s="60" t="b">
        <f t="shared" si="3"/>
        <v>0</v>
      </c>
    </row>
    <row r="371" spans="1:24" ht="12.75" customHeight="1" outlineLevel="1">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2"/>
      <c r="X371" s="60" t="b">
        <f t="shared" si="3"/>
        <v>0</v>
      </c>
    </row>
    <row r="372" spans="1:24" ht="12.75" customHeight="1" outlineLevel="1">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2"/>
      <c r="X372" s="60" t="b">
        <f t="shared" si="3"/>
        <v>0</v>
      </c>
    </row>
    <row r="373" spans="1:24" ht="12.75" customHeight="1" outlineLevel="1">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2"/>
      <c r="X373" s="60" t="b">
        <f t="shared" si="3"/>
        <v>0</v>
      </c>
    </row>
    <row r="374" spans="1:24" ht="12.75" customHeight="1" outlineLevel="1">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2"/>
      <c r="X374" s="60" t="b">
        <f t="shared" si="3"/>
        <v>0</v>
      </c>
    </row>
    <row r="375" spans="1:24" ht="12.75" customHeight="1" outlineLevel="1">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c r="B396" s="55" t="s">
        <v>95</v>
      </c>
      <c r="C396" s="55"/>
      <c r="D396" s="55"/>
      <c r="E396" s="55"/>
      <c r="F396" s="55"/>
      <c r="G396" s="55"/>
      <c r="H396" s="96"/>
      <c r="I396" s="96"/>
      <c r="J396" s="55"/>
      <c r="K396" s="55"/>
      <c r="L396" s="97"/>
      <c r="M396" s="65"/>
      <c r="N396" s="72"/>
      <c r="O396" s="55"/>
      <c r="P396" s="55"/>
      <c r="Q396" s="55"/>
      <c r="X396" s="60" t="b">
        <f t="shared" si="3"/>
        <v>0</v>
      </c>
    </row>
    <row r="397" spans="1:40" ht="12.75" customHeight="1" outlineLevel="1">
      <c r="B397" s="55" t="s">
        <v>96</v>
      </c>
      <c r="C397" s="55"/>
      <c r="D397" s="55"/>
      <c r="E397" s="55"/>
      <c r="F397" s="55"/>
      <c r="G397" s="55"/>
      <c r="H397" s="97"/>
      <c r="I397" s="97"/>
      <c r="J397" s="55"/>
      <c r="K397" s="55"/>
      <c r="L397" s="97"/>
      <c r="M397" s="65"/>
      <c r="N397" s="72"/>
      <c r="O397" s="55"/>
      <c r="P397" s="55"/>
      <c r="Q397" s="55"/>
      <c r="X397" s="60" t="b">
        <f t="shared" si="3"/>
        <v>0</v>
      </c>
    </row>
    <row r="398" spans="1:40" ht="12.75" customHeight="1" outlineLevel="1">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5"/>
      <c r="AD416" s="55"/>
      <c r="AE416" s="97"/>
      <c r="AF416" s="65"/>
      <c r="AG416" s="72" t="str">
        <f t="shared" si="17"/>
        <v>netaik.</v>
      </c>
      <c r="AK416" s="60" t="s">
        <v>236</v>
      </c>
    </row>
    <row r="417" spans="1:40" ht="12.75" customHeight="1" outlineLevel="1">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8">
        <v>2</v>
      </c>
    </row>
    <row r="421" spans="1:40" ht="12.75" customHeight="1" outlineLevel="1">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8">
        <v>2</v>
      </c>
    </row>
    <row r="428" spans="1:40" ht="12.75" customHeight="1" outlineLevel="1">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8">
        <v>2</v>
      </c>
    </row>
    <row r="432" spans="1:40" ht="12.75" customHeight="1" outlineLevel="1">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c r="B444" s="55" t="s">
        <v>95</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c r="B445" s="55" t="s">
        <v>96</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8"/>
    </row>
    <row r="455" spans="1:40" ht="12.75" customHeight="1" outlineLevel="1">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5"/>
      <c r="AD455" s="55"/>
      <c r="AE455" s="97"/>
      <c r="AF455" s="65"/>
      <c r="AG455" s="72" t="str">
        <f t="shared" si="33"/>
        <v>netaik.</v>
      </c>
      <c r="AM455" s="698"/>
    </row>
    <row r="456" spans="1:40" ht="12.75" customHeight="1" outlineLevel="1">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8"/>
    </row>
    <row r="459" spans="1:40" ht="12.75" customHeight="1" outlineLevel="1">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8"/>
    </row>
    <row r="461" spans="1:40" ht="12.75" customHeight="1" outlineLevel="1">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5"/>
      <c r="AD461" s="55"/>
      <c r="AE461" s="97"/>
      <c r="AF461" s="65"/>
      <c r="AG461" s="72" t="str">
        <f t="shared" si="33"/>
        <v>netaik.</v>
      </c>
      <c r="AM461" s="698"/>
    </row>
    <row r="462" spans="1:40" ht="12.75" customHeight="1" outlineLevel="1">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5"/>
      <c r="AD463" s="55"/>
      <c r="AE463" s="97"/>
      <c r="AF463" s="65"/>
      <c r="AG463" s="72" t="str">
        <f t="shared" si="33"/>
        <v>netaik.</v>
      </c>
      <c r="AM463" s="698"/>
    </row>
    <row r="464" spans="1:40" ht="12.75" customHeight="1" outlineLevel="1">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8">
        <v>1</v>
      </c>
    </row>
    <row r="465" spans="1:40" ht="12.75" customHeight="1" outlineLevel="1">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8"/>
    </row>
    <row r="467" spans="1:40" ht="12.75" customHeight="1" outlineLevel="1">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8"/>
    </row>
    <row r="469" spans="1:40" ht="12.75" customHeight="1" outlineLevel="1">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8"/>
    </row>
    <row r="470" spans="1:40" ht="12.75" customHeight="1" outlineLevel="1">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8"/>
    </row>
    <row r="471" spans="1:40" ht="12.75" customHeight="1" outlineLevel="1">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8"/>
    </row>
    <row r="472" spans="1:40" ht="12.75" customHeight="1" outlineLevel="1">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8"/>
    </row>
    <row r="473" spans="1:40" ht="12.75" customHeight="1" outlineLevel="1">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8"/>
    </row>
    <row r="474" spans="1:40" ht="12.75" customHeight="1" outlineLevel="1">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8"/>
    </row>
    <row r="475" spans="1:40" ht="12.75" customHeight="1" outlineLevel="1">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8"/>
    </row>
    <row r="476" spans="1:40" ht="12.75" customHeight="1" outlineLevel="1">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8"/>
    </row>
    <row r="477" spans="1:40" ht="12.75" customHeight="1" outlineLevel="1">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8"/>
    </row>
    <row r="478" spans="1:40" ht="12.75" customHeight="1" outlineLevel="1">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5"/>
      <c r="AD478" s="55"/>
      <c r="AE478" s="97"/>
      <c r="AF478" s="65"/>
      <c r="AG478" s="72" t="str">
        <f t="shared" si="33"/>
        <v>netaik.</v>
      </c>
      <c r="AM478" s="698"/>
    </row>
    <row r="479" spans="1:40" ht="12.75" customHeight="1" outlineLevel="1">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8"/>
    </row>
    <row r="480" spans="1:40" ht="12.75" customHeight="1" outlineLevel="1">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8"/>
    </row>
    <row r="486" spans="1:40" ht="12.75" customHeight="1" outlineLevel="1">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c r="B492" s="55" t="s">
        <v>95</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c r="B493" s="55" t="s">
        <v>96</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c r="B540" s="55" t="s">
        <v>95</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c r="B541" s="55" t="s">
        <v>96</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c r="B588" s="55" t="s">
        <v>95</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c r="B589" s="55" t="s">
        <v>96</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c r="B636" s="55" t="s">
        <v>95</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c r="B637" s="55" t="s">
        <v>96</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c r="B684" s="55" t="s">
        <v>95</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c r="B685" s="55" t="s">
        <v>96</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5"/>
      <c r="AA689" s="55"/>
      <c r="AB689" s="55"/>
      <c r="AC689" s="55"/>
      <c r="AD689" s="55"/>
      <c r="AE689" s="55"/>
      <c r="AF689" s="55"/>
      <c r="AG689" s="55"/>
    </row>
    <row r="690" spans="2:33" ht="12.75" customHeight="1" outlineLevel="1">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5"/>
      <c r="AA690" s="55"/>
      <c r="AB690" s="55"/>
      <c r="AC690" s="55"/>
      <c r="AD690" s="55"/>
      <c r="AE690" s="55"/>
      <c r="AF690" s="55"/>
      <c r="AG690" s="55"/>
    </row>
    <row r="691" spans="2:33" ht="12.75" customHeight="1" outlineLevel="1" thickBot="1">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5"/>
      <c r="AA691" s="55"/>
      <c r="AB691" s="55"/>
      <c r="AC691" s="55"/>
      <c r="AD691" s="55"/>
      <c r="AE691" s="55"/>
      <c r="AF691" s="55"/>
      <c r="AG691" s="55"/>
    </row>
    <row r="692" spans="2:33" ht="12.75" customHeight="1" outlineLevel="1">
      <c r="Z692" s="55"/>
      <c r="AA692" s="55"/>
      <c r="AB692" s="55"/>
      <c r="AC692" s="55"/>
      <c r="AD692" s="55"/>
      <c r="AE692" s="55"/>
      <c r="AF692" s="55"/>
      <c r="AG692" s="55"/>
    </row>
    <row r="693" spans="2:33" s="82" customFormat="1"/>
    <row r="694" spans="2:33" s="20" customFormat="1">
      <c r="B694" s="69"/>
      <c r="C694" s="87"/>
      <c r="D694" s="110"/>
      <c r="E694" s="110"/>
      <c r="F694" s="87"/>
      <c r="G694" s="110"/>
      <c r="H694" s="110"/>
      <c r="J694" s="69"/>
      <c r="K694" s="111"/>
      <c r="L694" s="111"/>
      <c r="M694" s="112"/>
      <c r="N694" s="112"/>
      <c r="O694" s="111"/>
      <c r="P694" s="112"/>
    </row>
    <row r="695" spans="2:33" s="82" customFormat="1" ht="13.5" thickBot="1">
      <c r="D695" s="113" t="str">
        <f>Translations!$B$489</f>
        <v>Pakopa</v>
      </c>
    </row>
    <row r="696" spans="2:33" s="46" customFormat="1">
      <c r="B696" s="60"/>
      <c r="C696" s="474">
        <v>1</v>
      </c>
      <c r="D696" s="393">
        <v>1</v>
      </c>
      <c r="E696" s="60"/>
      <c r="F696" s="60"/>
    </row>
    <row r="697" spans="2:33" s="46" customFormat="1">
      <c r="B697" s="60"/>
      <c r="C697" s="475">
        <v>2</v>
      </c>
      <c r="D697" s="414">
        <v>2</v>
      </c>
      <c r="E697" s="60"/>
      <c r="F697" s="60"/>
    </row>
    <row r="698" spans="2:33" s="46" customFormat="1">
      <c r="B698" s="60"/>
      <c r="C698" s="475">
        <v>3</v>
      </c>
      <c r="D698" s="414" t="s">
        <v>265</v>
      </c>
      <c r="E698" s="60"/>
      <c r="F698" s="60"/>
    </row>
    <row r="699" spans="2:33" s="46" customFormat="1">
      <c r="B699" s="60"/>
      <c r="C699" s="475">
        <v>4</v>
      </c>
      <c r="D699" s="414" t="str">
        <f>Translations!$B$306</f>
        <v>2b</v>
      </c>
      <c r="E699" s="60"/>
      <c r="F699" s="60"/>
    </row>
    <row r="700" spans="2:33" s="46" customFormat="1">
      <c r="B700" s="60"/>
      <c r="C700" s="475">
        <v>5</v>
      </c>
      <c r="D700" s="414">
        <v>3</v>
      </c>
      <c r="E700" s="60"/>
      <c r="F700" s="60"/>
    </row>
    <row r="701" spans="2:33" s="46" customFormat="1" ht="13.5" thickBot="1">
      <c r="B701" s="60"/>
      <c r="C701" s="476">
        <v>6</v>
      </c>
      <c r="D701" s="415">
        <v>4</v>
      </c>
      <c r="E701" s="60"/>
      <c r="F701" s="60"/>
    </row>
    <row r="702" spans="2:33" s="114" customFormat="1"/>
    <row r="703" spans="2:33" s="46" customFormat="1" ht="13.5" thickBot="1">
      <c r="B703" s="52" t="s">
        <v>585</v>
      </c>
    </row>
    <row r="704" spans="2:33" s="1196" customFormat="1">
      <c r="B704" s="1195" t="str">
        <f>Translations!$B$923</f>
        <v>1. a) Naftos ir dujų perdirbimo gamyklos</v>
      </c>
    </row>
    <row r="705" spans="2:2" s="1196" customFormat="1">
      <c r="B705" s="1097" t="str">
        <f>Translations!$B$924</f>
        <v>1. b) Dujofikavimo ir skystinimo įrenginiai</v>
      </c>
    </row>
    <row r="706" spans="2:2" s="1196" customFormat="1">
      <c r="B706" s="1097" t="str">
        <f>Translations!$B$925</f>
        <v>1. c) Šiluminės elektrinės ir kiti deginimo įrenginiai</v>
      </c>
    </row>
    <row r="707" spans="2:2" s="1196" customFormat="1">
      <c r="B707" s="1097" t="str">
        <f>Translations!$B$926</f>
        <v>1. d) Koksavimo krosnys</v>
      </c>
    </row>
    <row r="708" spans="2:2" s="1196" customFormat="1">
      <c r="B708" s="1097" t="str">
        <f>Translations!$B$927</f>
        <v>1. e) Anglių smulkinimo įrenginiai</v>
      </c>
    </row>
    <row r="709" spans="2:2" s="1196" customFormat="1">
      <c r="B709" s="1097" t="str">
        <f>Translations!$B$928</f>
        <v>1. f) Anglių produktų ir kietojo bedūmio kuro
gamybos įmonės</v>
      </c>
    </row>
    <row r="710" spans="2:2" s="1196" customFormat="1">
      <c r="B710" s="1097" t="str">
        <f>Translations!$B$929</f>
        <v>2. a) Metalo rūdų (įskaitant sulfido rūdą) išdeginimo arba sukepinimo įrenginiai</v>
      </c>
    </row>
    <row r="711" spans="2:2" s="1196" customFormat="1">
      <c r="B711" s="1097" t="str">
        <f>Translations!$B$930</f>
        <v>2. b) Ketaus ar plieno (pirminio ar
antrinio lydymo) gamybos luitais įrenginiai, įskaitant nepertraukiamą liejimą</v>
      </c>
    </row>
    <row r="712" spans="2:2" s="1196" customFormat="1">
      <c r="B712" s="1097" t="str">
        <f>Translations!$B$931</f>
        <v>2. c) i) Juodųjų metalų apdorojimo įrenginiai: karštojo valcavimo įmonės</v>
      </c>
    </row>
    <row r="713" spans="2:2" s="1196" customFormat="1">
      <c r="B713" s="1097" t="str">
        <f>Translations!$B$932</f>
        <v>2. c) ii) Juodųjų metalų apdorojimo įrenginiai: kalvės, kuriose naudojami kūjai</v>
      </c>
    </row>
    <row r="714" spans="2:2" s="1196" customFormat="1">
      <c r="B714" s="1097" t="str">
        <f>Translations!$B$933</f>
        <v>2. c) iii) Juodųjų metalų apdorojimo įrenginiai: dengimo lydalinėmis metalo dangomis įrenginiai</v>
      </c>
    </row>
    <row r="715" spans="2:2" s="1196" customFormat="1">
      <c r="B715" s="1097" t="str">
        <f>Translations!$B$934</f>
        <v>2. d) Juodųjų metalų liejyklos</v>
      </c>
    </row>
    <row r="716" spans="2:2" s="1196" customFormat="1">
      <c r="B716" s="1097" t="str">
        <f>Translations!$B$935</f>
        <v>2.e i) Spalvotųjų žaliavinių metalų gamybos iš rūdos,
koncentratų ar antrinių žaliavų metalurginiais,
cheminiais ar elektrolizės procesais</v>
      </c>
    </row>
    <row r="717" spans="2:2" s="1196" customFormat="1">
      <c r="B717" s="1097" t="str">
        <f>Translations!$B$936</f>
        <v>2.e ii) Spalvotųjų metalų lydymo, įskaitant legiravimą,
taip pat ir perdirbtų produktų (taurinimas, liejimas ir kt.)</v>
      </c>
    </row>
    <row r="718" spans="2:2" s="1196" customFormat="1">
      <c r="B718" s="1097" t="str">
        <f>Translations!$B$937</f>
        <v>2. f) Metalų ir plastikų paviršiaus apdorojimo elektrolizės
ar cheminiais procesais įrenginiai</v>
      </c>
    </row>
    <row r="719" spans="2:2" s="1196" customFormat="1">
      <c r="B719" s="1097" t="str">
        <f>Translations!$B$938</f>
        <v>3. a) Požeminė kasyba ir susijusios operacijos</v>
      </c>
    </row>
    <row r="720" spans="2:2" s="1196" customFormat="1">
      <c r="B720" s="1097" t="str">
        <f>Translations!$B$939</f>
        <v>3. b) Atviroji kasyba ir karjerų eksploatavimas</v>
      </c>
    </row>
    <row r="721" spans="2:2" s="1196" customFormat="1">
      <c r="B721" s="1097" t="str">
        <f>Translations!$B$940</f>
        <v>3. c) i) Įrenginiai, skirti gaminti: cemento klinkeriui sukamosiose krosnyse</v>
      </c>
    </row>
    <row r="722" spans="2:2" s="1196" customFormat="1">
      <c r="B722" s="1097" t="str">
        <f>Translations!$B$941</f>
        <v>3. c) ii) Įrenginiai, skirti gaminti: kalkėms sukamosiose krosnyse</v>
      </c>
    </row>
    <row r="723" spans="2:2" s="1196" customFormat="1">
      <c r="B723" s="1097" t="str">
        <f>Translations!$B$942</f>
        <v>3. c) iii) Įrenginiai, skirti gaminti: cemento klinkeriui ar kalkėms kitose krosnyse</v>
      </c>
    </row>
    <row r="724" spans="2:2" s="1196" customFormat="1">
      <c r="B724" s="1097" t="str">
        <f>Translations!$B$943</f>
        <v>3. d) Asbesto ir asbestinių produktų gamybos įrenginiai</v>
      </c>
    </row>
    <row r="725" spans="2:2" s="1196" customFormat="1">
      <c r="B725" s="1097" t="str">
        <f>Translations!$B$944</f>
        <v>3. e) Stiklo, įskaitant stiklo pluoštą, gamybos įrenginiai</v>
      </c>
    </row>
    <row r="726" spans="2:2" s="1196" customFormat="1">
      <c r="B726" s="1097" t="str">
        <f>Translations!$B$945</f>
        <v>3. f) Mineralų lydymo įrenginiai, įskaitant mineralinio pluošto gamybą</v>
      </c>
    </row>
    <row r="727" spans="2:2" s="1196" customFormat="1">
      <c r="B727" s="1097" t="str">
        <f>Translations!$B$946</f>
        <v>3. g) Keramikos gaminių gamybos degimo būdu,
ypač čerpių, plytų, ugniai atsparių plytų, plytelių,
keramikos ar porceliano, įrenginiai</v>
      </c>
    </row>
    <row r="728" spans="2:2" s="1196" customFormat="1">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c r="B730" s="1097" t="str">
        <f>Translations!$B$949</f>
        <v>4. a) iii) Chemijos įrenginiai, skirti šioms pagrindinėms organinėms
cheminėms medžiagoms pramoniniu būdu gaminti: sieros angliavandeniliams</v>
      </c>
    </row>
    <row r="731" spans="2:2" s="1196" customFormat="1">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c r="B732" s="1097" t="str">
        <f>Translations!$B$951</f>
        <v>4. a) v) Chemijos įrenginiai, skirti šioms pagrindinėms organinėms
cheminėms medžiagoms pramoniniu būdu gaminti: fosforo turintiems angliavandeniliams</v>
      </c>
    </row>
    <row r="733" spans="2:2" s="1196" customFormat="1">
      <c r="B733" s="1097" t="str">
        <f>Translations!$B$952</f>
        <v>4. a) vi) Chemijos įrenginiai, skirti šioms pagrindinėms organinėms
cheminėms medžiagoms pramoniniu būdu gaminti: halogeniniams angliavandeniliams</v>
      </c>
    </row>
    <row r="734" spans="2:2" s="1196" customFormat="1">
      <c r="B734" s="1097" t="str">
        <f>Translations!$B$953</f>
        <v>4. a) vii) Chemijos įrenginiai, skirti šioms pagrindinėms organinėms
cheminėms medžiagoms pramoniniu būdu gaminti: organometaliniams junginiams</v>
      </c>
    </row>
    <row r="735" spans="2:2" s="1196" customFormat="1">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c r="B736" s="1097" t="str">
        <f>Translations!$B$955</f>
        <v>4. a) ix) Chemijos įrenginiai, skirti šioms pagrindinėms organinėms
cheminėms medžiagoms pramoniniu būdu gaminti: sintetinei gumai</v>
      </c>
    </row>
    <row r="737" spans="2:3" s="1196" customFormat="1">
      <c r="B737" s="1097" t="str">
        <f>Translations!$B$956</f>
        <v>4. a) x) Chemijos įrenginiai, skirti šioms pagrindinėms organinėms
cheminėms medžiagoms pramoniniu būdu gaminti: dažams ir pigmentams</v>
      </c>
    </row>
    <row r="738" spans="2:3" s="1196" customFormat="1">
      <c r="B738" s="1097" t="str">
        <f>Translations!$B$957</f>
        <v>4. a) xi) Chemijos įrenginiai, skirti šioms pagrindinėms organinėms
cheminėms medžiagoms pramoniniu būdu gaminti: paviršinio aktyvumo agentams ir medžiagoms</v>
      </c>
    </row>
    <row r="739" spans="2:3" s="1196" customFormat="1">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c r="B741" s="1097" t="str">
        <f>Translations!$B$960</f>
        <v>4. b) iii) Chemijos įrenginiai, skirti šioms pagrindinėms neorganinėms
cheminėms medžiagoms pramoniniu būdu gaminti: bazėms, pvz., amonio hidroksidui, kalio hidroksidui,
natrio hidroksidui</v>
      </c>
    </row>
    <row r="742" spans="2:3" s="1196" customFormat="1">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c r="B744" s="1097" t="str">
        <f>Translations!$B$963</f>
        <v>4. c) Chemijos įrenginiai, skirti fosforo, azoto ar kalio trąšoms
(paprastosioms ar mišriosioms trąšoms) pramoniniu būdu gaminti</v>
      </c>
    </row>
    <row r="745" spans="2:3" s="1196" customFormat="1">
      <c r="B745" s="1097" t="str">
        <f>Translations!$B$964</f>
        <v>4. d) Chemijos įrenginiai, skirti pagrindiniams augalų apsaugos
produktams ir biocidams pramoniniu būdu gaminti</v>
      </c>
    </row>
    <row r="746" spans="2:3" s="1196" customFormat="1">
      <c r="B746" s="1097" t="str">
        <f>Translations!$B$965</f>
        <v>4. e) Įrenginiai, skirti taikant cheminį ar biologinį procesą
pagrindiniams farmacijos produktams pramoniniu būdu gaminti</v>
      </c>
    </row>
    <row r="747" spans="2:3" s="1196" customFormat="1">
      <c r="B747" s="1097" t="str">
        <f>Translations!$B$966</f>
        <v>4. f) Įrenginiai, skirti sprogmenims ir pirotechnikos gaminiams
pramoniniu būdu gaminti</v>
      </c>
    </row>
    <row r="748" spans="2:3" s="1196" customFormat="1">
      <c r="B748" s="1097" t="str">
        <f>Translations!$B$967</f>
        <v>5. a) Pavojingų atliekų utilizavimo ar šalinimo įrenginiai</v>
      </c>
      <c r="C748" s="1197"/>
    </row>
    <row r="749" spans="2:3" s="1196" customFormat="1">
      <c r="B749" s="1097" t="str">
        <f>Translations!$B$968</f>
        <v>5. b) Nepavojingų atliekų deginimo įrenginiai, kuriems taikoma
2000 m. gruodžio 4 d. Europos Parlamento ir Tarybos direktyva
2000/76/EB dėl atliekų deginimo</v>
      </c>
      <c r="C749" s="20"/>
    </row>
    <row r="750" spans="2:3" s="1196" customFormat="1">
      <c r="B750" s="1097" t="str">
        <f>Translations!$B$969</f>
        <v>5. c) Nepavojingų atliekų šalinimo įrenginiai</v>
      </c>
      <c r="C750" s="20"/>
    </row>
    <row r="751" spans="2:3" s="1196" customFormat="1">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6" customFormat="1">
      <c r="B752" s="1097" t="str">
        <f>Translations!$B$971</f>
        <v>5. e) Gyvūnų skerdenų ir gyvūninių atliekų šalinimo ar perdirbimo įrenginiai</v>
      </c>
      <c r="C752" s="20"/>
    </row>
    <row r="753" spans="2:3" s="1196" customFormat="1">
      <c r="B753" s="1097" t="str">
        <f>Translations!$B$972</f>
        <v>5. f) Miesto nuotekų valymo įrenginiai</v>
      </c>
      <c r="C753" s="20"/>
    </row>
    <row r="754" spans="2:3" s="1196" customFormat="1">
      <c r="B754" s="1097" t="str">
        <f>Translations!$B$973</f>
        <v>5. g) Nepriklausomai dirbantys pramonės nuotekų valymo įrenginiai, naudojami vienai ar kelioms šiame priede nurodytoms veiklos rūšims</v>
      </c>
      <c r="C754" s="20"/>
    </row>
    <row r="755" spans="2:3" s="1196" customFormat="1">
      <c r="B755" s="1097" t="str">
        <f>Translations!$B$974</f>
        <v>6. a) Celiuliozės gamybos iš medienos ar panašių pluoštinių
medžiagų pramoniniai įrenginiai</v>
      </c>
      <c r="C755" s="20"/>
    </row>
    <row r="756" spans="2:3" s="1196" customFormat="1">
      <c r="B756" s="1097" t="str">
        <f>Translations!$B$975</f>
        <v>6. b) Popieriaus bei kartono ir kitų pirminių medienos produktų
(pvz., medienos drožlių plokščių, plaušo plokščių ir faneros)
gamybos pramoniniai įrenginiai</v>
      </c>
      <c r="C756" s="20"/>
    </row>
    <row r="757" spans="2:3" s="1196" customFormat="1">
      <c r="B757" s="1097" t="str">
        <f>Translations!$B$976</f>
        <v>6. c) Medienos ir medienos produktų konservavimo
chemikalais pramoniniai įrenginiai</v>
      </c>
      <c r="C757" s="20"/>
    </row>
    <row r="758" spans="2:3" s="1196" customFormat="1">
      <c r="B758" s="1097" t="str">
        <f>Translations!$B$977</f>
        <v>7. a) Intensyvaus paukščių arba kiaulių auginimo įrenginiai</v>
      </c>
      <c r="C758" s="20"/>
    </row>
    <row r="759" spans="2:3" s="1196" customFormat="1">
      <c r="B759" s="1097" t="str">
        <f>Translations!$B$978</f>
        <v>7. b) Intensyvi akvakultūra</v>
      </c>
      <c r="C759" s="20"/>
    </row>
    <row r="760" spans="2:3" s="1196" customFormat="1">
      <c r="B760" s="1097" t="str">
        <f>Translations!$B$979</f>
        <v>8. a) Skerdyklos</v>
      </c>
      <c r="C760" s="20"/>
    </row>
    <row r="761" spans="2:3" s="1196" customFormat="1">
      <c r="B761" s="1198" t="str">
        <f>Translations!$B$980</f>
        <v>8. b) i) Apdorojimas ir perdirbimas, skirti maistui ir gėrimams gaminti iš:
gyvulinių žaliavų (išskyrus pieną)</v>
      </c>
      <c r="C761" s="20"/>
    </row>
    <row r="762" spans="2:3" s="1196" customFormat="1">
      <c r="B762" s="1198" t="str">
        <f>Translations!$B$981</f>
        <v>8. b) ii) Apdorojimas ir perdirbimas, skirti maistui ir gėrimams gaminti iš:
augalinės kilmės žaliavų</v>
      </c>
      <c r="C762" s="20"/>
    </row>
    <row r="763" spans="2:3" s="1196" customFormat="1">
      <c r="B763" s="1097" t="str">
        <f>Translations!$B$982</f>
        <v>8. c) Pieno apdorojimas ir perdirbimas</v>
      </c>
      <c r="C763" s="20"/>
    </row>
    <row r="764" spans="2:3" s="1196" customFormat="1">
      <c r="B764" s="1097" t="str">
        <f>Translations!$B$983</f>
        <v>9. a) Pluošto ar tekstilės pirminio apdorojimo (tokiomis operacijomis
kaip plovimas, balinimas, merserizavimas) ar dažymo įrenginiai</v>
      </c>
    </row>
    <row r="765" spans="2:3" s="1196" customFormat="1">
      <c r="B765" s="1097" t="str">
        <f>Translations!$B$984</f>
        <v>9. b) Kailių ir odų rauginimo įrenginiai</v>
      </c>
    </row>
    <row r="766" spans="2:3" s="1196" customFormat="1">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c r="B767" s="1097" t="str">
        <f>Translations!$B$986</f>
        <v>9. d) Anglies (perdegtos anglies) ar anglies grafito gamybos deginimo
ar grafitizacijos būdu įrenginiai</v>
      </c>
    </row>
    <row r="768" spans="2:3" s="1196" customFormat="1" ht="13.5" thickBot="1">
      <c r="B768" s="1199" t="str">
        <f>Translations!$B$987</f>
        <v>9. e) Laivų statymo, dažymo ar dažų šalinimo įrenginiai</v>
      </c>
    </row>
    <row r="769" spans="1:1" s="46" customFormat="1"/>
    <row r="770" spans="1:1" s="46" customFormat="1"/>
    <row r="771" spans="1:1" s="56" customFormat="1" ht="9" customHeight="1">
      <c r="A771" s="56" t="s">
        <v>201</v>
      </c>
    </row>
  </sheetData>
  <sheetProtection sheet="1" objects="1" scenarios="1"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sheetPr codeName="Tabelle16" enableFormatConditionsCalculation="0">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cols>
    <col min="1" max="1" width="32.28515625" style="60" customWidth="1"/>
    <col min="2" max="2" width="18.85546875" style="60" customWidth="1"/>
    <col min="3" max="47" width="12.7109375" style="60" customWidth="1"/>
    <col min="48" max="16384" width="11.42578125" style="60"/>
  </cols>
  <sheetData>
    <row r="2" spans="1:84" ht="23.25">
      <c r="A2" s="116" t="s">
        <v>351</v>
      </c>
      <c r="B2" s="116"/>
      <c r="C2" s="116"/>
      <c r="J2" s="116"/>
      <c r="K2" s="116"/>
    </row>
    <row r="4" spans="1:84" s="348" customFormat="1">
      <c r="A4" s="348" t="s">
        <v>90</v>
      </c>
    </row>
    <row r="5" spans="1:84" ht="13.5" thickBot="1"/>
    <row r="6" spans="1:84" ht="13.5" thickBot="1">
      <c r="A6" s="60" t="s">
        <v>593</v>
      </c>
      <c r="B6" s="1122" t="b">
        <v>0</v>
      </c>
      <c r="C6" s="83" t="s">
        <v>611</v>
      </c>
    </row>
    <row r="7" spans="1:84" ht="13.5" thickBot="1">
      <c r="A7" s="60" t="s">
        <v>607</v>
      </c>
      <c r="B7" s="1122" t="b">
        <v>0</v>
      </c>
      <c r="C7" s="83" t="s">
        <v>612</v>
      </c>
    </row>
    <row r="8" spans="1:84" ht="13.5" thickBot="1">
      <c r="A8" s="60" t="s">
        <v>610</v>
      </c>
      <c r="B8" s="1122" t="b">
        <v>0</v>
      </c>
      <c r="C8" s="83" t="s">
        <v>613</v>
      </c>
    </row>
    <row r="10" spans="1:84" s="348" customFormat="1" ht="13.5" thickBot="1">
      <c r="A10" s="348" t="s">
        <v>90</v>
      </c>
    </row>
    <row r="11" spans="1:84" ht="13.5" thickBot="1">
      <c r="A11" s="50" t="s">
        <v>292</v>
      </c>
      <c r="B11" s="50"/>
      <c r="O11" s="946" t="s">
        <v>477</v>
      </c>
      <c r="P11" s="856" t="str">
        <f ca="1">IF(ISERROR(CELL("filename",Q11)),"MSParameters",MID(CELL("filename",Q11),FIND("]",CELL("filename",Q11))+1,1024))</f>
        <v>MSParameters</v>
      </c>
    </row>
    <row r="12" spans="1:84" ht="13.5" thickBot="1">
      <c r="A12" s="50" t="s">
        <v>36</v>
      </c>
      <c r="B12" s="50"/>
      <c r="O12" s="87"/>
    </row>
    <row r="13" spans="1:84" ht="13.5" thickBot="1">
      <c r="A13" s="349" t="s">
        <v>38</v>
      </c>
      <c r="B13" s="349"/>
      <c r="M13" s="52" t="s">
        <v>541</v>
      </c>
      <c r="P13" s="1090" t="str">
        <f>IF(COUNTIF(MSPara_CategoryMatrix,"")&gt;0,EUconst_ERR_Incomplete,"")</f>
        <v/>
      </c>
    </row>
    <row r="14" spans="1:84">
      <c r="A14" s="349" t="s">
        <v>37</v>
      </c>
      <c r="B14" s="349"/>
    </row>
    <row r="15" spans="1:84">
      <c r="A15" s="349" t="s">
        <v>598</v>
      </c>
      <c r="B15" s="349"/>
    </row>
    <row r="16" spans="1:84">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c r="A62" s="348" t="s">
        <v>548</v>
      </c>
    </row>
    <row r="63" spans="1:106">
      <c r="A63" s="50" t="s">
        <v>292</v>
      </c>
      <c r="B63" s="50"/>
    </row>
    <row r="64" spans="1:106">
      <c r="A64" s="349" t="s">
        <v>30</v>
      </c>
      <c r="B64" s="349"/>
    </row>
    <row r="65" spans="1:112">
      <c r="A65" s="349" t="s">
        <v>34</v>
      </c>
      <c r="B65" s="349"/>
    </row>
    <row r="66" spans="1:112">
      <c r="A66" s="349" t="s">
        <v>31</v>
      </c>
      <c r="B66" s="349"/>
    </row>
    <row r="67" spans="1:112">
      <c r="A67" s="349" t="s">
        <v>33</v>
      </c>
      <c r="B67" s="349"/>
    </row>
    <row r="68" spans="1:112">
      <c r="A68" s="349" t="s">
        <v>32</v>
      </c>
      <c r="B68" s="349"/>
    </row>
    <row r="69" spans="1:112">
      <c r="A69" s="349" t="s">
        <v>35</v>
      </c>
      <c r="B69" s="349"/>
    </row>
    <row r="70" spans="1:112">
      <c r="A70" s="349" t="s">
        <v>596</v>
      </c>
      <c r="B70" s="349"/>
    </row>
    <row r="71" spans="1:112" ht="13.5" thickBot="1">
      <c r="A71" s="349"/>
      <c r="B71" s="349"/>
    </row>
    <row r="72" spans="1:112" s="918" customFormat="1" ht="25.5" customHeight="1" thickBot="1">
      <c r="A72" s="917"/>
      <c r="B72" s="1711" t="s">
        <v>511</v>
      </c>
      <c r="C72" s="1712"/>
      <c r="D72" s="1712"/>
      <c r="E72" s="1712"/>
      <c r="F72" s="1712"/>
      <c r="G72" s="1712"/>
      <c r="H72" s="1712"/>
      <c r="I72" s="1713"/>
      <c r="J72" s="913"/>
      <c r="K72" s="914"/>
      <c r="L72" s="1711" t="s">
        <v>512</v>
      </c>
      <c r="M72" s="1712"/>
      <c r="N72" s="1712"/>
      <c r="O72" s="1712"/>
      <c r="P72" s="1712"/>
      <c r="Q72" s="1712"/>
      <c r="R72" s="1712"/>
      <c r="S72" s="1712"/>
      <c r="T72" s="1712"/>
      <c r="U72" s="1713"/>
    </row>
    <row r="73" spans="1:112" ht="13.5" thickBot="1">
      <c r="A73" s="349"/>
      <c r="B73" s="1719" t="s">
        <v>547</v>
      </c>
      <c r="C73" s="1720"/>
      <c r="D73" s="1720"/>
      <c r="E73" s="1720"/>
      <c r="F73" s="1720"/>
      <c r="G73" s="1720"/>
      <c r="H73" s="1720"/>
      <c r="I73" s="1721"/>
      <c r="J73" s="913"/>
      <c r="K73" s="914"/>
      <c r="L73" s="1719" t="s">
        <v>513</v>
      </c>
      <c r="M73" s="1720"/>
      <c r="N73" s="1720"/>
      <c r="O73" s="1720"/>
      <c r="P73" s="1720"/>
      <c r="Q73" s="1720"/>
      <c r="R73" s="1720"/>
      <c r="S73" s="1720"/>
      <c r="T73" s="1720"/>
      <c r="U73" s="1721"/>
    </row>
    <row r="74" spans="1:112">
      <c r="A74" s="1714" t="s">
        <v>228</v>
      </c>
      <c r="B74" s="1715"/>
      <c r="C74" s="480" t="s">
        <v>218</v>
      </c>
      <c r="D74" s="1724" t="s">
        <v>213</v>
      </c>
      <c r="E74" s="1725"/>
      <c r="F74" s="1724" t="s">
        <v>68</v>
      </c>
      <c r="G74" s="1725"/>
      <c r="H74" s="1724" t="s">
        <v>216</v>
      </c>
      <c r="I74" s="1726"/>
      <c r="J74" s="913"/>
      <c r="K74" s="914"/>
      <c r="L74" s="389" t="s">
        <v>558</v>
      </c>
      <c r="M74" s="1722" t="s">
        <v>68</v>
      </c>
      <c r="N74" s="1723"/>
      <c r="O74" s="1722" t="s">
        <v>213</v>
      </c>
      <c r="P74" s="1723"/>
      <c r="Q74" s="484" t="s">
        <v>214</v>
      </c>
      <c r="R74" s="484" t="s">
        <v>215</v>
      </c>
      <c r="S74" s="1722" t="s">
        <v>216</v>
      </c>
      <c r="T74" s="1723"/>
      <c r="U74" s="397" t="s">
        <v>217</v>
      </c>
    </row>
    <row r="75" spans="1:112" ht="13.5" thickBot="1">
      <c r="A75" s="1716"/>
      <c r="B75" s="1717"/>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2" t="s">
        <v>233</v>
      </c>
    </row>
    <row r="77" spans="1:11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c r="C207" s="1718" t="str">
        <f>Translations!$B$238</f>
        <v>A metodas</v>
      </c>
      <c r="D207" s="1718"/>
      <c r="E207" s="1718" t="str">
        <f>Translations!$B$239</f>
        <v>B Metodas</v>
      </c>
      <c r="F207" s="1718"/>
    </row>
    <row r="208" spans="1:27" ht="12.75" customHeight="1">
      <c r="C208" s="664" t="str">
        <f>Translations!$B$1149</f>
        <v>ITF (NITFCF4)</v>
      </c>
      <c r="D208" s="664" t="str">
        <f>Translations!$B$1150</f>
        <v>ITF (C2F6)</v>
      </c>
      <c r="E208" s="664" t="str">
        <f>Translations!$B$1149</f>
        <v>ITF (NITFCF4)</v>
      </c>
      <c r="F208" s="664" t="str">
        <f>Translations!$B$1150</f>
        <v>ITF (C2F6)</v>
      </c>
    </row>
    <row r="209" spans="1:6" ht="13.5" thickBot="1">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c r="A214" s="380" t="str">
        <f>EUconst_NA</f>
        <v>netaik.</v>
      </c>
      <c r="B214" s="382" t="str">
        <f>EUconst_NA</f>
        <v>netaik.</v>
      </c>
      <c r="C214" s="669" t="str">
        <f t="shared" si="59"/>
        <v>netaik.</v>
      </c>
      <c r="D214" s="670" t="str">
        <f t="shared" si="59"/>
        <v>netaik.</v>
      </c>
      <c r="E214" s="669" t="str">
        <f>EUconst_NA</f>
        <v>netaik.</v>
      </c>
      <c r="F214" s="670" t="str">
        <f>EUconst_NA</f>
        <v>netaik.</v>
      </c>
    </row>
    <row r="215" spans="1:6">
      <c r="C215" s="60" t="s">
        <v>28</v>
      </c>
      <c r="E215" s="60" t="s">
        <v>27</v>
      </c>
    </row>
    <row r="217" spans="1:6">
      <c r="B217" s="1288" t="s">
        <v>1709</v>
      </c>
      <c r="C217" s="1288" t="s">
        <v>1710</v>
      </c>
    </row>
    <row r="218" spans="1:6">
      <c r="A218" s="1123" t="str">
        <f>Translations!$B$1062</f>
        <v>Medžiaga – Kitų rūšių žaliavos</v>
      </c>
      <c r="B218" s="380" t="b">
        <v>1</v>
      </c>
    </row>
    <row r="219" spans="1:6">
      <c r="A219" s="1123" t="str">
        <f>Translations!$B$1063</f>
        <v>Medžiaga – Kitų rūšių produktai</v>
      </c>
      <c r="B219" s="380" t="b">
        <v>1</v>
      </c>
    </row>
    <row r="220" spans="1:6">
      <c r="A220" s="1123" t="str">
        <f>Translations!$B$1064</f>
        <v>Medžiaga – Kitos medžiagos</v>
      </c>
      <c r="B220" s="380" t="b">
        <v>1</v>
      </c>
    </row>
    <row r="221" spans="1:6">
      <c r="A221" s="1123" t="str">
        <f>Translations!$B$1065</f>
        <v>Medžiaga – Kalkakmenis</v>
      </c>
      <c r="B221" s="380" t="b">
        <v>0</v>
      </c>
    </row>
    <row r="222" spans="1:6">
      <c r="A222" s="1123" t="str">
        <f>Translations!$B$1066</f>
        <v>Medžiaga – Dolomitas</v>
      </c>
      <c r="B222" s="380" t="b">
        <v>0</v>
      </c>
    </row>
    <row r="223" spans="1:6">
      <c r="A223" s="1123" t="str">
        <f>Translations!$B$1067</f>
        <v>Medžiaga – Natrio vandenilio karbonatas</v>
      </c>
      <c r="B223" s="380" t="b">
        <v>0</v>
      </c>
    </row>
    <row r="224" spans="1:6">
      <c r="A224" s="1123" t="str">
        <f>Translations!$B$1068</f>
        <v>Medžiaga – Natrio karbonatas</v>
      </c>
      <c r="B224" s="380" t="b">
        <v>0</v>
      </c>
    </row>
    <row r="225" spans="1:2">
      <c r="A225" s="1123" t="str">
        <f>Translations!$B$1069</f>
        <v>Medžiaga – Kalio karbonatas (potašas)</v>
      </c>
      <c r="B225" s="380" t="b">
        <v>0</v>
      </c>
    </row>
    <row r="226" spans="1:2">
      <c r="A226" s="1123" t="str">
        <f>Translations!$B$1070</f>
        <v>Medžiaga – CaCO3</v>
      </c>
      <c r="B226" s="380" t="b">
        <v>0</v>
      </c>
    </row>
    <row r="227" spans="1:2">
      <c r="A227" s="1123" t="str">
        <f>Translations!$B$1071</f>
        <v>Medžiaga – MgCO3</v>
      </c>
      <c r="B227" s="380" t="b">
        <v>0</v>
      </c>
    </row>
    <row r="228" spans="1:2">
      <c r="A228" s="1123" t="str">
        <f>Translations!$B$1072</f>
        <v>Medžiaga – Na2CO3</v>
      </c>
      <c r="B228" s="380" t="b">
        <v>0</v>
      </c>
    </row>
    <row r="229" spans="1:2">
      <c r="A229" s="1123" t="str">
        <f>Translations!$B$1073</f>
        <v>Medžiaga – BaCO3</v>
      </c>
      <c r="B229" s="380" t="b">
        <v>0</v>
      </c>
    </row>
    <row r="230" spans="1:2">
      <c r="A230" s="1123" t="str">
        <f>Translations!$B$1074</f>
        <v>Medžiaga – Li2CO3</v>
      </c>
      <c r="B230" s="380" t="b">
        <v>0</v>
      </c>
    </row>
    <row r="231" spans="1:2">
      <c r="A231" s="1123" t="str">
        <f>Translations!$B$1075</f>
        <v>Medžiaga – K2CO3</v>
      </c>
      <c r="B231" s="380" t="b">
        <v>0</v>
      </c>
    </row>
    <row r="232" spans="1:2">
      <c r="A232" s="1123" t="str">
        <f>Translations!$B$1076</f>
        <v>Medžiaga – SrCO3</v>
      </c>
      <c r="B232" s="380" t="b">
        <v>0</v>
      </c>
    </row>
    <row r="233" spans="1:2">
      <c r="A233" s="1123" t="str">
        <f>Translations!$B$1077</f>
        <v>Medžiaga – NaHCO3</v>
      </c>
      <c r="B233" s="380" t="b">
        <v>0</v>
      </c>
    </row>
    <row r="234" spans="1:2">
      <c r="A234" s="1123" t="str">
        <f>Translations!$B$1078</f>
        <v>Medžiaga – FeCO3</v>
      </c>
      <c r="B234" s="380" t="b">
        <v>0</v>
      </c>
    </row>
    <row r="235" spans="1:2">
      <c r="A235" s="1123" t="str">
        <f>Translations!$B$1079</f>
        <v>Medžiaga – Kiti karbonatai</v>
      </c>
      <c r="B235" s="380" t="b">
        <v>0</v>
      </c>
    </row>
    <row r="236" spans="1:2">
      <c r="A236" s="1123" t="str">
        <f>Translations!$B$1080</f>
        <v>Medžiaga – Gipsas</v>
      </c>
      <c r="B236" s="380" t="b">
        <v>0</v>
      </c>
    </row>
    <row r="237" spans="1:2">
      <c r="A237" s="1123" t="str">
        <f>Translations!$B$1081</f>
        <v>Medžiaga – Proceso medžiaga</v>
      </c>
      <c r="B237" s="380" t="b">
        <v>0</v>
      </c>
    </row>
    <row r="238" spans="1:2">
      <c r="A238" s="1123" t="str">
        <f>Translations!$B$1082</f>
        <v>Medžiaga – CaO</v>
      </c>
      <c r="B238" s="380" t="b">
        <v>0</v>
      </c>
    </row>
    <row r="239" spans="1:2">
      <c r="A239" s="1123" t="str">
        <f>Translations!$B$1083</f>
        <v>Medžiaga – MgO</v>
      </c>
      <c r="B239" s="380" t="b">
        <v>0</v>
      </c>
    </row>
    <row r="240" spans="1:2">
      <c r="A240" s="1123" t="str">
        <f>Translations!$B$1084</f>
        <v>Medžiaga – BaO</v>
      </c>
      <c r="B240" s="380" t="b">
        <v>0</v>
      </c>
    </row>
    <row r="241" spans="1:2">
      <c r="A241" s="1123" t="str">
        <f>Translations!$B$1085</f>
        <v>Medžiaga – Kiti produktai</v>
      </c>
      <c r="B241" s="380" t="b">
        <v>1</v>
      </c>
    </row>
    <row r="242" spans="1:2">
      <c r="A242" s="1123" t="str">
        <f>Translations!$B$1086</f>
        <v>Medžiaga – Rūdos</v>
      </c>
      <c r="B242" s="380" t="b">
        <v>0</v>
      </c>
    </row>
    <row r="243" spans="1:2">
      <c r="A243" s="1123" t="str">
        <f>Translations!$B$1087</f>
        <v>Medžiaga – Priedai</v>
      </c>
      <c r="B243" s="380" t="b">
        <v>0</v>
      </c>
    </row>
    <row r="244" spans="1:2">
      <c r="A244" s="1123" t="str">
        <f>Translations!$B$1088</f>
        <v>Medžiaga – Metalo laužas</v>
      </c>
      <c r="B244" s="380" t="b">
        <v>1</v>
      </c>
    </row>
    <row r="245" spans="1:2">
      <c r="A245" s="1123" t="str">
        <f>Translations!$B$1089</f>
        <v>Medžiaga – Geležies rūdos</v>
      </c>
      <c r="B245" s="380" t="b">
        <v>0</v>
      </c>
    </row>
    <row r="246" spans="1:2">
      <c r="A246" s="1123" t="str">
        <f>Translations!$B$1090</f>
        <v>Medžiaga – Aukštakrosnių šlakas</v>
      </c>
      <c r="B246" s="380" t="b">
        <v>1</v>
      </c>
    </row>
    <row r="247" spans="1:2">
      <c r="A247" s="1123" t="str">
        <f>Translations!$B$1091</f>
        <v>Medžiaga – Kitų rūšių šlakas</v>
      </c>
      <c r="B247" s="380" t="b">
        <v>1</v>
      </c>
    </row>
    <row r="248" spans="1:2">
      <c r="A248" s="1123" t="str">
        <f>Translations!$B$1092</f>
        <v>Medžiaga – Kitų rūšių reduktoriai</v>
      </c>
      <c r="B248" s="380" t="b">
        <v>1</v>
      </c>
    </row>
    <row r="249" spans="1:2">
      <c r="A249" s="1123" t="str">
        <f>Translations!$B$1093</f>
        <v>Medžiaga – Tiesiogiai redukuojama geležis</v>
      </c>
      <c r="B249" s="380" t="b">
        <v>0</v>
      </c>
    </row>
    <row r="250" spans="1:2">
      <c r="A250" s="1123" t="str">
        <f>Translations!$B$1094</f>
        <v>Medžiaga – EAF anglies elektrodai</v>
      </c>
      <c r="B250" s="380" t="b">
        <v>0</v>
      </c>
    </row>
    <row r="251" spans="1:2">
      <c r="A251" s="1123" t="str">
        <f>Translations!$B$1095</f>
        <v>Medžiaga – EAF krūvio anglis</v>
      </c>
      <c r="B251" s="380" t="b">
        <v>0</v>
      </c>
    </row>
    <row r="252" spans="1:2">
      <c r="A252" s="1123" t="str">
        <f>Translations!$B$1096</f>
        <v>Medžiaga – Karštojo briketavimo geležis</v>
      </c>
      <c r="B252" s="380" t="b">
        <v>0</v>
      </c>
    </row>
    <row r="253" spans="1:2">
      <c r="A253" s="1123" t="str">
        <f>Translations!$B$1097</f>
        <v>Medžiaga – Perkama geležis luitais</v>
      </c>
      <c r="B253" s="380" t="b">
        <v>0</v>
      </c>
    </row>
    <row r="254" spans="1:2">
      <c r="A254" s="1123" t="str">
        <f>Translations!$B$1098</f>
        <v>Medžiaga – Plienas</v>
      </c>
      <c r="B254" s="380" t="b">
        <v>0</v>
      </c>
    </row>
    <row r="255" spans="1:2">
      <c r="A255" s="1123" t="str">
        <f>Translations!$B$1099</f>
        <v>Medžiaga – Plieno laužas</v>
      </c>
      <c r="B255" s="380" t="b">
        <v>1</v>
      </c>
    </row>
    <row r="256" spans="1:2">
      <c r="A256" s="1123" t="str">
        <f>Translations!$B$1100</f>
        <v>Medžiaga – Išlydytas metalas</v>
      </c>
      <c r="B256" s="380" t="b">
        <v>0</v>
      </c>
    </row>
    <row r="257" spans="1:2">
      <c r="A257" s="1123" t="str">
        <f>Translations!$B$1101</f>
        <v>Medžiaga – Lydžiosios sudedamosios dalys</v>
      </c>
      <c r="B257" s="380" t="b">
        <v>0</v>
      </c>
    </row>
    <row r="258" spans="1:2">
      <c r="A258" s="1123" t="str">
        <f>Translations!$B$1102</f>
        <v>Medžiaga – Žaliavinis mišinys</v>
      </c>
      <c r="B258" s="380" t="b">
        <v>0</v>
      </c>
    </row>
    <row r="259" spans="1:2">
      <c r="A259" s="1123" t="str">
        <f>Translations!$B$1103</f>
        <v>Medžiaga – Cemento klinkeris</v>
      </c>
      <c r="B259" s="380" t="b">
        <v>0</v>
      </c>
    </row>
    <row r="260" spans="1:2">
      <c r="A260" s="1123" t="str">
        <f>Translations!$B$1104</f>
        <v>Medžiaga – Pašalinės dulkės</v>
      </c>
      <c r="B260" s="380" t="b">
        <v>1</v>
      </c>
    </row>
    <row r="261" spans="1:2">
      <c r="A261" s="1123" t="str">
        <f>Translations!$B$1105</f>
        <v>Medžiaga – Pašaliniai miltai</v>
      </c>
      <c r="B261" s="380" t="b">
        <v>1</v>
      </c>
    </row>
    <row r="262" spans="1:2">
      <c r="A262" s="1123" t="str">
        <f>Translations!$B$1106</f>
        <v>Medžiaga – Kitos pašalinės medžiagos</v>
      </c>
      <c r="B262" s="380" t="b">
        <v>1</v>
      </c>
    </row>
    <row r="263" spans="1:2">
      <c r="A263" s="1123" t="str">
        <f>Translations!$B$1107</f>
        <v>Medžiaga – Lakieji pelenai</v>
      </c>
      <c r="B263" s="380" t="b">
        <v>1</v>
      </c>
    </row>
    <row r="264" spans="1:2">
      <c r="A264" s="1123" t="str">
        <f>Translations!$B$1108</f>
        <v>Medžiaga – Kitos medžiagos, kurių sudėtyje yra anglies</v>
      </c>
      <c r="B264" s="380" t="b">
        <v>1</v>
      </c>
    </row>
    <row r="265" spans="1:2">
      <c r="A265" s="1123" t="str">
        <f>Translations!$B$1109</f>
        <v>Medžiaga – Žaliavinis magnezitas</v>
      </c>
      <c r="B265" s="380" t="b">
        <v>0</v>
      </c>
    </row>
    <row r="266" spans="1:2">
      <c r="A266" s="1123" t="str">
        <f>Translations!$B$1110</f>
        <v>Medžiaga – Kalkės</v>
      </c>
      <c r="B266" s="380" t="b">
        <v>0</v>
      </c>
    </row>
    <row r="267" spans="1:2">
      <c r="A267" s="1123" t="str">
        <f>Translations!$B$1111</f>
        <v>Medžiaga – Magnio oksidas</v>
      </c>
      <c r="B267" s="380" t="b">
        <v>0</v>
      </c>
    </row>
    <row r="268" spans="1:2">
      <c r="A268" s="1123" t="str">
        <f>Translations!$B$1112</f>
        <v>Medžiaga – Degimo krosnies dulkės</v>
      </c>
      <c r="B268" s="380" t="b">
        <v>1</v>
      </c>
    </row>
    <row r="269" spans="1:2">
      <c r="A269" s="1123" t="str">
        <f>Translations!$B$1113</f>
        <v>Medžiaga – Molis</v>
      </c>
      <c r="B269" s="380" t="b">
        <v>0</v>
      </c>
    </row>
    <row r="270" spans="1:2">
      <c r="A270" s="1123" t="str">
        <f>Translations!$B$1114</f>
        <v>Medžiaga – Plytos</v>
      </c>
      <c r="B270" s="380" t="b">
        <v>0</v>
      </c>
    </row>
    <row r="271" spans="1:2">
      <c r="A271" s="1123" t="str">
        <f>Translations!$B$1115</f>
        <v>Medžiaga – Kitos cheminės medžiagos</v>
      </c>
      <c r="B271" s="380" t="b">
        <v>1</v>
      </c>
    </row>
    <row r="272" spans="1:2">
      <c r="A272" s="1123" t="str">
        <f>Translations!$B$1116</f>
        <v>Medžiaga – Acetonitrilas</v>
      </c>
      <c r="B272" s="380" t="b">
        <v>0</v>
      </c>
    </row>
    <row r="273" spans="1:2">
      <c r="A273" s="1123" t="str">
        <f>Translations!$B$1117</f>
        <v>Medžiaga – Akrilonitrilas</v>
      </c>
      <c r="B273" s="380" t="b">
        <v>0</v>
      </c>
    </row>
    <row r="274" spans="1:2">
      <c r="A274" s="1123" t="str">
        <f>Translations!$B$1118</f>
        <v>Medžiaga – Butadienas</v>
      </c>
      <c r="B274" s="380" t="b">
        <v>0</v>
      </c>
    </row>
    <row r="275" spans="1:2">
      <c r="A275" s="1123" t="str">
        <f>Translations!$B$1119</f>
        <v>Medžiaga – Suodžiai</v>
      </c>
      <c r="B275" s="380" t="b">
        <v>0</v>
      </c>
    </row>
    <row r="276" spans="1:2">
      <c r="A276" s="1123" t="str">
        <f>Translations!$B$1120</f>
        <v>Medžiaga – Etilenas</v>
      </c>
      <c r="B276" s="380" t="b">
        <v>0</v>
      </c>
    </row>
    <row r="277" spans="1:2">
      <c r="A277" s="1123" t="str">
        <f>Translations!$B$1121</f>
        <v>Medžiaga – Etileno dichloridas</v>
      </c>
      <c r="B277" s="380" t="b">
        <v>0</v>
      </c>
    </row>
    <row r="278" spans="1:2">
      <c r="A278" s="1123" t="str">
        <f>Translations!$B$1122</f>
        <v>Medžiaga – Etilenglikolis</v>
      </c>
      <c r="B278" s="380" t="b">
        <v>0</v>
      </c>
    </row>
    <row r="279" spans="1:2">
      <c r="A279" s="1123" t="str">
        <f>Translations!$B$1123</f>
        <v>Medžiaga – Oksiranas</v>
      </c>
      <c r="B279" s="380" t="b">
        <v>0</v>
      </c>
    </row>
    <row r="280" spans="1:2">
      <c r="A280" s="1123" t="str">
        <f>Translations!$B$1124</f>
        <v>Medžiaga – Vandenilio cianidas</v>
      </c>
      <c r="B280" s="380" t="b">
        <v>0</v>
      </c>
    </row>
    <row r="281" spans="1:2">
      <c r="A281" s="1123" t="str">
        <f>Translations!$B$1125</f>
        <v>Medžiaga – Metanolis</v>
      </c>
      <c r="B281" s="380" t="b">
        <v>0</v>
      </c>
    </row>
    <row r="282" spans="1:2">
      <c r="A282" s="1123" t="str">
        <f>Translations!$B$1126</f>
        <v>Medžiaga – Propilenas</v>
      </c>
      <c r="B282" s="380" t="b">
        <v>0</v>
      </c>
    </row>
    <row r="283" spans="1:2">
      <c r="A283" s="1123" t="str">
        <f>Translations!$B$1127</f>
        <v>Medžiaga – Vinilchlorido monomeras</v>
      </c>
      <c r="B283" s="380" t="b">
        <v>0</v>
      </c>
    </row>
    <row r="284" spans="1:2">
      <c r="A284" s="1123" t="str">
        <f>Translations!$B$1128</f>
        <v>Medžiaga – Maleino rūgšties anhidridas</v>
      </c>
      <c r="B284" s="380" t="b">
        <v>0</v>
      </c>
    </row>
    <row r="285" spans="1:2">
      <c r="A285" s="1123" t="str">
        <f>Translations!$B$1129</f>
        <v>Medžiaga – Ftalio rūgšties anhidridas</v>
      </c>
      <c r="B285" s="380" t="b">
        <v>0</v>
      </c>
    </row>
    <row r="286" spans="1:2">
      <c r="A286" s="1123" t="str">
        <f>Translations!$B$1130</f>
        <v>Medžiaga – Aromatiniai angliavandeniliai</v>
      </c>
      <c r="B286" s="380" t="b">
        <v>0</v>
      </c>
    </row>
    <row r="287" spans="1:2">
      <c r="A287" s="1123" t="str">
        <f>Translations!$B$1131</f>
        <v>Medžiaga – Tereftalio rūgštis</v>
      </c>
      <c r="B287" s="380" t="b">
        <v>0</v>
      </c>
    </row>
    <row r="288" spans="1:2">
      <c r="A288" s="1123" t="str">
        <f>Translations!$B$1132</f>
        <v>Medžiaga – Fenolis</v>
      </c>
      <c r="B288" s="380" t="b">
        <v>0</v>
      </c>
    </row>
    <row r="289" spans="1:2">
      <c r="A289" s="1123" t="str">
        <f>Translations!$B$1133</f>
        <v>Medžiaga – Acetonas</v>
      </c>
      <c r="B289" s="380" t="b">
        <v>0</v>
      </c>
    </row>
    <row r="290" spans="1:2">
      <c r="A290" s="1123" t="str">
        <f>Translations!$B$1134</f>
        <v>Medžiaga – Kumenas</v>
      </c>
      <c r="B290" s="380" t="b">
        <v>0</v>
      </c>
    </row>
    <row r="291" spans="1:2">
      <c r="A291" s="1123" t="str">
        <f>Translations!$B$1135</f>
        <v>Medžiaga – Skruzdžių rūgštis</v>
      </c>
      <c r="B291" s="380" t="b">
        <v>0</v>
      </c>
    </row>
    <row r="292" spans="1:2">
      <c r="A292" s="1123" t="str">
        <f>Translations!$B$1136</f>
        <v>Medžiaga – Acto rūgštis</v>
      </c>
      <c r="B292" s="380" t="b">
        <v>0</v>
      </c>
    </row>
    <row r="293" spans="1:2">
      <c r="A293" s="1123" t="str">
        <f>Translations!$B$1137</f>
        <v>Medžiaga – Formaldehidas</v>
      </c>
      <c r="B293" s="380" t="b">
        <v>0</v>
      </c>
    </row>
    <row r="294" spans="1:2">
      <c r="A294" s="1123" t="str">
        <f>Translations!$B$1138</f>
        <v>Medžiaga – Acto anhidridas</v>
      </c>
      <c r="B294" s="380" t="b">
        <v>0</v>
      </c>
    </row>
    <row r="295" spans="1:2">
      <c r="A295" s="1123" t="str">
        <f>Translations!$B$1139</f>
        <v>Medžiaga – Ftalio rūgštis</v>
      </c>
      <c r="B295" s="380" t="b">
        <v>0</v>
      </c>
    </row>
    <row r="296" spans="1:2">
      <c r="A296" s="1123" t="str">
        <f>Translations!$B$1140</f>
        <v>Medžiaga – Akrilo rūgštis</v>
      </c>
      <c r="B296" s="380" t="b">
        <v>0</v>
      </c>
    </row>
    <row r="297" spans="1:2">
      <c r="A297" s="1123" t="str">
        <f>Translations!$B$859</f>
        <v>Medžiaga – Tiekimas į vonių su termiškai apdorotais perforuotais anodais centrą (CWPB)</v>
      </c>
      <c r="B297" s="380" t="b">
        <v>0</v>
      </c>
    </row>
    <row r="298" spans="1:2">
      <c r="A298" s="1123" t="str">
        <f>Translations!$B$860</f>
        <v>Medžiaga – Sioderbergo vonia su vertikaliais strypais (VSS)</v>
      </c>
      <c r="B298" s="380" t="b">
        <v>0</v>
      </c>
    </row>
    <row r="299" spans="1:2">
      <c r="A299" s="1123" t="str">
        <f>Translations!$B$861</f>
        <v>Medžiaga – Tiekimas į vonių su termiškai apdorotais perforuotais anodais kraštą (SWPB)</v>
      </c>
      <c r="B299" s="380" t="b">
        <v>0</v>
      </c>
    </row>
    <row r="300" spans="1:2">
      <c r="A300" s="1123" t="str">
        <f>Translations!$B$862</f>
        <v>Medžiaga – Sioderbergo vonia su horizontaliais strypais (HSS)</v>
      </c>
      <c r="B300" s="380" t="b">
        <v>0</v>
      </c>
    </row>
    <row r="301" spans="1:2">
      <c r="A301" s="1123" t="str">
        <f>Translations!$B$1141</f>
        <v>Medžiaga – Kiti elektrodai</v>
      </c>
      <c r="B301" s="380" t="b">
        <v>0</v>
      </c>
    </row>
    <row r="302" spans="1:2">
      <c r="A302" s="1123" t="str">
        <f>Translations!$B$1142</f>
        <v>Medžiaga – Kitos</v>
      </c>
      <c r="B302" s="380" t="b">
        <v>1</v>
      </c>
    </row>
    <row r="303" spans="1:2">
      <c r="A303" s="1123" t="str">
        <f>Translations!$B$988</f>
        <v>Dujinis – Etanas</v>
      </c>
      <c r="B303" s="380" t="b">
        <v>0</v>
      </c>
    </row>
    <row r="304" spans="1:2">
      <c r="A304" s="1123" t="str">
        <f>Translations!$B$989</f>
        <v>Dujinis – Propanas</v>
      </c>
      <c r="B304" s="380" t="b">
        <v>0</v>
      </c>
    </row>
    <row r="305" spans="1:2">
      <c r="A305" s="1123" t="str">
        <f>Translations!$B$990</f>
        <v>Dujinis – Butanas</v>
      </c>
      <c r="B305" s="380" t="b">
        <v>0</v>
      </c>
    </row>
    <row r="306" spans="1:2">
      <c r="A306" s="1123" t="str">
        <f>Translations!$B$999</f>
        <v>Dujinis – Gamtinės dujos</v>
      </c>
      <c r="B306" s="380" t="b">
        <v>0</v>
      </c>
    </row>
    <row r="307" spans="1:2">
      <c r="A307" s="1123" t="str">
        <f>Translations!$B$1000</f>
        <v>Dujinis – Dujų gamyklos dujos</v>
      </c>
      <c r="B307" s="380" t="b">
        <v>0</v>
      </c>
    </row>
    <row r="308" spans="1:2">
      <c r="A308" s="1123" t="str">
        <f>Translations!$B$1001</f>
        <v>Dujinis – Koksavimo dujos</v>
      </c>
      <c r="B308" s="380" t="b">
        <v>0</v>
      </c>
    </row>
    <row r="309" spans="1:2">
      <c r="A309" s="1123" t="str">
        <f>Translations!$B$1002</f>
        <v>Dujinis – Aukštakrosnių dujos</v>
      </c>
      <c r="B309" s="380" t="b">
        <v>0</v>
      </c>
    </row>
    <row r="310" spans="1:2">
      <c r="A310" s="1123" t="str">
        <f>Translations!$B$1003</f>
        <v>Dujinis – Deguoninių plieno aukštakrosnių dujos</v>
      </c>
      <c r="B310" s="380" t="b">
        <v>0</v>
      </c>
    </row>
    <row r="311" spans="1:2">
      <c r="A311" s="1123" t="str">
        <f>Translations!$B$1004</f>
        <v>Dujinis – Biodujos</v>
      </c>
      <c r="B311" s="380" t="b">
        <v>0</v>
      </c>
    </row>
    <row r="312" spans="1:2">
      <c r="A312" s="1123" t="str">
        <f>Translations!$B$1005</f>
        <v>Dujinis – Dumblo dujos</v>
      </c>
      <c r="B312" s="380" t="b">
        <v>0</v>
      </c>
    </row>
    <row r="313" spans="1:2">
      <c r="A313" s="1123" t="str">
        <f>Translations!$B$1006</f>
        <v>Dujinis – Sąvartynų dujos</v>
      </c>
      <c r="B313" s="380" t="b">
        <v>0</v>
      </c>
    </row>
    <row r="314" spans="1:2">
      <c r="A314" s="1123" t="str">
        <f>Translations!$B$1007</f>
        <v>Dujinis – Anglies monoksidas</v>
      </c>
      <c r="B314" s="380" t="b">
        <v>0</v>
      </c>
    </row>
    <row r="315" spans="1:2">
      <c r="A315" s="1123" t="str">
        <f>Translations!$B$1008</f>
        <v>Dujinis – Metanas</v>
      </c>
      <c r="B315" s="380" t="b">
        <v>0</v>
      </c>
    </row>
    <row r="316" spans="1:2">
      <c r="A316" s="1123" t="str">
        <f>Translations!$B$1009</f>
        <v>Dujinis – Kitų rūšių dujinis kuras</v>
      </c>
      <c r="B316" s="380" t="b">
        <v>0</v>
      </c>
    </row>
    <row r="317" spans="1:2">
      <c r="A317" s="1123" t="str">
        <f>Translations!$B$1010</f>
        <v>Dujinis – Kitų rūšių dujinė biomasė</v>
      </c>
      <c r="B317" s="380" t="b">
        <v>0</v>
      </c>
    </row>
    <row r="318" spans="1:2">
      <c r="A318" s="1123" t="str">
        <f>Translations!$B$991</f>
        <v>Skystasis – Dyzelinis krosnių kuras</v>
      </c>
      <c r="B318" s="380" t="b">
        <v>0</v>
      </c>
    </row>
    <row r="319" spans="1:2">
      <c r="A319" s="1123" t="str">
        <f>Translations!$B$992</f>
        <v>Skystasis – Gazolis</v>
      </c>
      <c r="B319" s="380" t="b">
        <v>0</v>
      </c>
    </row>
    <row r="320" spans="1:2">
      <c r="A320" s="1123" t="str">
        <f>Translations!$B$993</f>
        <v>Skystasis – Gazolinas</v>
      </c>
      <c r="B320" s="380" t="b">
        <v>0</v>
      </c>
    </row>
    <row r="321" spans="1:2">
      <c r="A321" s="1123" t="str">
        <f>Translations!$B$994</f>
        <v>Skystasis – Valytas žibalas</v>
      </c>
      <c r="B321" s="380" t="b">
        <v>0</v>
      </c>
    </row>
    <row r="322" spans="1:2">
      <c r="A322" s="1123" t="str">
        <f>Translations!$B$995</f>
        <v>Skystasis – Žibalas</v>
      </c>
      <c r="B322" s="380" t="b">
        <v>0</v>
      </c>
    </row>
    <row r="323" spans="1:2">
      <c r="A323" s="1123" t="str">
        <f>Translations!$B$996</f>
        <v>Skystasis – Reaktyvinis žibalas (Jet A1 arba Jet A)</v>
      </c>
      <c r="B323" s="380" t="b">
        <v>0</v>
      </c>
    </row>
    <row r="324" spans="1:2">
      <c r="A324" s="1123" t="str">
        <f>Translations!$B$997</f>
        <v>Skystasis – Reaktyvinis gazolinas (benzinas) (Jet B)</v>
      </c>
      <c r="B324" s="380" t="b">
        <v>0</v>
      </c>
    </row>
    <row r="325" spans="1:2">
      <c r="A325" s="1123" t="str">
        <f>Translations!$B$998</f>
        <v>Skystasis – Aviacinis gazolinas (benzinas) (AvGas)</v>
      </c>
      <c r="B325" s="380" t="b">
        <v>0</v>
      </c>
    </row>
    <row r="326" spans="1:2">
      <c r="A326" s="1123" t="str">
        <f>Translations!$B$1011</f>
        <v>Skystasis – Labai lengvos distiliacijos kuras</v>
      </c>
      <c r="B326" s="380" t="b">
        <v>0</v>
      </c>
    </row>
    <row r="327" spans="1:2">
      <c r="A327" s="1123" t="str">
        <f>Translations!$B$1012</f>
        <v>Skystasis – Vidutinės distiliacijos kuras</v>
      </c>
      <c r="B327" s="380" t="b">
        <v>0</v>
      </c>
    </row>
    <row r="328" spans="1:2">
      <c r="A328" s="1123" t="str">
        <f>Translations!$B$1013</f>
        <v>Skystasis – Sunkusis mazutas</v>
      </c>
      <c r="B328" s="380" t="b">
        <v>0</v>
      </c>
    </row>
    <row r="329" spans="1:2">
      <c r="A329" s="1123" t="str">
        <f>Translations!$B$1014</f>
        <v>Skystasis – Suskystintosios naftos dujos</v>
      </c>
      <c r="B329" s="380" t="b">
        <v>0</v>
      </c>
    </row>
    <row r="330" spans="1:2">
      <c r="A330" s="1123" t="str">
        <f>Translations!$B$1015</f>
        <v>Skystasis – Žalia nafta</v>
      </c>
      <c r="B330" s="380" t="b">
        <v>0</v>
      </c>
    </row>
    <row r="331" spans="1:2">
      <c r="A331" s="1123" t="str">
        <f>Translations!$B$1016</f>
        <v>Skystasis – Orimulsija</v>
      </c>
      <c r="B331" s="380" t="b">
        <v>0</v>
      </c>
    </row>
    <row r="332" spans="1:2">
      <c r="A332" s="1123" t="str">
        <f>Translations!$B$1017</f>
        <v>Skystasis – Gamtinių dujų kondensatai</v>
      </c>
      <c r="B332" s="380" t="b">
        <v>0</v>
      </c>
    </row>
    <row r="333" spans="1:2">
      <c r="A333" s="1123" t="str">
        <f>Translations!$B$1018</f>
        <v>Skystasis – Automobilinis benzinas</v>
      </c>
      <c r="B333" s="380" t="b">
        <v>0</v>
      </c>
    </row>
    <row r="334" spans="1:2">
      <c r="A334" s="1123" t="str">
        <f>Translations!$B$1019</f>
        <v>Skystasis – Skalūnų alyva</v>
      </c>
      <c r="B334" s="380" t="b">
        <v>0</v>
      </c>
    </row>
    <row r="335" spans="1:2">
      <c r="A335" s="1123" t="str">
        <f>Translations!$B$1020</f>
        <v>Skystasis – Dujos ir (arba) dyzelinas</v>
      </c>
      <c r="B335" s="380" t="b">
        <v>0</v>
      </c>
    </row>
    <row r="336" spans="1:2">
      <c r="A336" s="1123" t="str">
        <f>Translations!$B$1021</f>
        <v>Skystasis – Mazuto distiliavimo likutis</v>
      </c>
      <c r="B336" s="380" t="b">
        <v>0</v>
      </c>
    </row>
    <row r="337" spans="1:2">
      <c r="A337" s="1123" t="str">
        <f>Translations!$B$1022</f>
        <v>Skystasis – Pirminis benzinas</v>
      </c>
      <c r="B337" s="380" t="b">
        <v>0</v>
      </c>
    </row>
    <row r="338" spans="1:2">
      <c r="A338" s="1123" t="str">
        <f>Translations!$B$1023</f>
        <v>Skystasis – Tepalai</v>
      </c>
      <c r="B338" s="380" t="b">
        <v>0</v>
      </c>
    </row>
    <row r="339" spans="1:2">
      <c r="A339" s="1123" t="str">
        <f>Translations!$B$1024</f>
        <v>Skystasis – Vaitspiritas ir SBP</v>
      </c>
      <c r="B339" s="380" t="b">
        <v>0</v>
      </c>
    </row>
    <row r="340" spans="1:2">
      <c r="A340" s="1123" t="str">
        <f>Translations!$B$1025</f>
        <v>Skystasis – Skalūnų alyva ir gudoniniai smėliai</v>
      </c>
      <c r="B340" s="380" t="b">
        <v>0</v>
      </c>
    </row>
    <row r="341" spans="1:2">
      <c r="A341" s="1123" t="str">
        <f>Translations!$B$1026</f>
        <v>Skystasis – Akmens anglių briketai</v>
      </c>
      <c r="B341" s="380" t="b">
        <v>0</v>
      </c>
    </row>
    <row r="342" spans="1:2">
      <c r="A342" s="1123" t="str">
        <f>Translations!$B$1027</f>
        <v>Skystasis – Alyvų atliekos</v>
      </c>
      <c r="B342" s="380" t="b">
        <v>1</v>
      </c>
    </row>
    <row r="343" spans="1:2">
      <c r="A343" s="1123" t="str">
        <f>Translations!$B$1028</f>
        <v>Skystasis – Biobenzinas</v>
      </c>
      <c r="B343" s="380" t="b">
        <v>0</v>
      </c>
    </row>
    <row r="344" spans="1:2">
      <c r="A344" s="1123" t="str">
        <f>Translations!$B$1029</f>
        <v>Skystasi – Biodyzelinas</v>
      </c>
      <c r="B344" s="380" t="b">
        <v>0</v>
      </c>
    </row>
    <row r="345" spans="1:2">
      <c r="A345" s="1123" t="str">
        <f>Translations!$B$1030</f>
        <v>Skystasis – Bitumas</v>
      </c>
      <c r="B345" s="380" t="b">
        <v>0</v>
      </c>
    </row>
    <row r="346" spans="1:2">
      <c r="A346" s="1123" t="str">
        <f>Translations!$B$1031</f>
        <v>Skystasis – Organiniai tirpikliai</v>
      </c>
      <c r="B346" s="380" t="b">
        <v>1</v>
      </c>
    </row>
    <row r="347" spans="1:2">
      <c r="A347" s="1123" t="str">
        <f>Translations!$B$1032</f>
        <v>Skystasis – Kitų rūšių skystasis kuras</v>
      </c>
      <c r="B347" s="380" t="b">
        <v>1</v>
      </c>
    </row>
    <row r="348" spans="1:2">
      <c r="A348" s="1123" t="str">
        <f>Translations!$B$1033</f>
        <v>Skystasis – Kitų rūšių skystoji biomasė</v>
      </c>
      <c r="B348" s="380" t="b">
        <v>1</v>
      </c>
    </row>
    <row r="349" spans="1:2">
      <c r="A349" s="1123" t="str">
        <f>Translations!$B$1040</f>
        <v>Kietasis – Koksas</v>
      </c>
      <c r="B349" s="380" t="b">
        <v>0</v>
      </c>
    </row>
    <row r="350" spans="1:2">
      <c r="A350" s="1123" t="str">
        <f>Translations!$B$1041</f>
        <v>Kietasis – Naftos koksas</v>
      </c>
      <c r="B350" s="380" t="b">
        <v>1</v>
      </c>
    </row>
    <row r="351" spans="1:2">
      <c r="A351" s="1123" t="str">
        <f>Translations!$B$1042</f>
        <v>Kietasis – Akmens anglys</v>
      </c>
      <c r="B351" s="380" t="b">
        <v>0</v>
      </c>
    </row>
    <row r="352" spans="1:2">
      <c r="A352" s="1123" t="str">
        <f>Translations!$B$1043</f>
        <v>Kietasis – Lignitas</v>
      </c>
      <c r="B352" s="380" t="b">
        <v>0</v>
      </c>
    </row>
    <row r="353" spans="1:2">
      <c r="A353" s="1123" t="str">
        <f>Translations!$B$1044</f>
        <v>Kietasis – Antracitas</v>
      </c>
      <c r="B353" s="380" t="b">
        <v>0</v>
      </c>
    </row>
    <row r="354" spans="1:2">
      <c r="A354" s="1123" t="str">
        <f>Translations!$B$1045</f>
        <v>Kietasis – Koksinės anglys</v>
      </c>
      <c r="B354" s="380" t="b">
        <v>0</v>
      </c>
    </row>
    <row r="355" spans="1:2">
      <c r="A355" s="1123" t="str">
        <f>Translations!$B$1046</f>
        <v>Kietasis – Subbituminės akmens anglys</v>
      </c>
      <c r="B355" s="380" t="b">
        <v>0</v>
      </c>
    </row>
    <row r="356" spans="1:2">
      <c r="A356" s="1123" t="str">
        <f>Translations!$B$1047</f>
        <v>Kietasis – Kitos bituminės akmens anglys</v>
      </c>
      <c r="B356" s="380" t="b">
        <v>0</v>
      </c>
    </row>
    <row r="357" spans="1:2">
      <c r="A357" s="1123" t="str">
        <f>Translations!$B$1048</f>
        <v>Kietasis – Dujinis koksas</v>
      </c>
      <c r="B357" s="380" t="b">
        <v>1</v>
      </c>
    </row>
    <row r="358" spans="1:2">
      <c r="A358" s="1123" t="str">
        <f>Translations!$B$1049</f>
        <v>Kietasis – Parafinas</v>
      </c>
      <c r="B358" s="380" t="b">
        <v>0</v>
      </c>
    </row>
    <row r="359" spans="1:2">
      <c r="A359" s="1123" t="str">
        <f>Translations!$B$1050</f>
        <v>Kietasis – Sulfatinės išviros</v>
      </c>
      <c r="B359" s="380" t="b">
        <v>0</v>
      </c>
    </row>
    <row r="360" spans="1:2">
      <c r="A360" s="1123" t="str">
        <f>Translations!$B$1051</f>
        <v>Kietasis – Malkos</v>
      </c>
      <c r="B360" s="380" t="b">
        <v>0</v>
      </c>
    </row>
    <row r="361" spans="1:2">
      <c r="A361" s="1123" t="str">
        <f>Translations!$B$1052</f>
        <v>Kietasis – Mediena (ne atliekos)</v>
      </c>
      <c r="B361" s="380" t="b">
        <v>0</v>
      </c>
    </row>
    <row r="362" spans="1:2">
      <c r="A362" s="1123" t="str">
        <f>Translations!$B$1053</f>
        <v>Kietasis – Mediena (atliekos)</v>
      </c>
      <c r="B362" s="380" t="b">
        <v>1</v>
      </c>
    </row>
    <row r="363" spans="1:2">
      <c r="A363" s="1123" t="str">
        <f>Translations!$B$1054</f>
        <v>Kietasis – Durpės</v>
      </c>
      <c r="B363" s="380" t="b">
        <v>0</v>
      </c>
    </row>
    <row r="364" spans="1:2">
      <c r="A364" s="1123" t="str">
        <f>Translations!$B$1055</f>
        <v>Kietasis – Kanalizacijos dumblas</v>
      </c>
      <c r="B364" s="380" t="b">
        <v>1</v>
      </c>
    </row>
    <row r="365" spans="1:2">
      <c r="A365" s="1123" t="str">
        <f>Translations!$B$1056</f>
        <v>Kietasis – Komunalinių nuotekų dumblas</v>
      </c>
      <c r="B365" s="380" t="b">
        <v>1</v>
      </c>
    </row>
    <row r="366" spans="1:2">
      <c r="A366" s="1123" t="str">
        <f>Translations!$B$1057</f>
        <v>Kietasis – Akmens anglių degutas</v>
      </c>
      <c r="B366" s="380" t="b">
        <v>0</v>
      </c>
    </row>
    <row r="367" spans="1:2">
      <c r="A367" s="1123" t="str">
        <f>Translations!$B$1058</f>
        <v>Kietasis – Medžio anglys</v>
      </c>
      <c r="B367" s="380" t="b">
        <v>0</v>
      </c>
    </row>
    <row r="368" spans="1:2">
      <c r="A368" s="1123" t="str">
        <f>Translations!$B$1059</f>
        <v>Kietasis – Panaudos padangos</v>
      </c>
      <c r="B368" s="380" t="b">
        <v>1</v>
      </c>
    </row>
    <row r="369" spans="1:2">
      <c r="A369" s="1123" t="str">
        <f>Translations!$B$1060</f>
        <v>Kietasis – Kitų rūšių kietasis kuras</v>
      </c>
      <c r="B369" s="380" t="b">
        <v>1</v>
      </c>
    </row>
    <row r="370" spans="1:2">
      <c r="A370" s="1123" t="str">
        <f>Translations!$B$1061</f>
        <v>Kietasis – Kitų rūšių kietoji biomasė</v>
      </c>
      <c r="B370" s="380" t="b">
        <v>1</v>
      </c>
    </row>
    <row r="371" spans="1:2">
      <c r="A371" s="1123" t="str">
        <f>Translations!$B$1034</f>
        <v>Atliekos – Komunalinės ir pramoninės atliekos</v>
      </c>
      <c r="B371" s="380" t="b">
        <v>1</v>
      </c>
    </row>
    <row r="372" spans="1:2">
      <c r="A372" s="1123" t="str">
        <f>Translations!$B$1035</f>
        <v>Atliekos – Pramoninės atliekos</v>
      </c>
      <c r="B372" s="380" t="b">
        <v>1</v>
      </c>
    </row>
    <row r="373" spans="1:2">
      <c r="A373" s="1123" t="str">
        <f>Translations!$B$1036</f>
        <v>Naftos perdirbimo įmonių žaliava – Naftos perdirbimo įmonių dujos</v>
      </c>
      <c r="B373" s="380" t="b">
        <v>0</v>
      </c>
    </row>
    <row r="374" spans="1:2">
      <c r="A374" s="1123" t="str">
        <f>Translations!$B$1037</f>
        <v>Naftos perdirbimo įmonių žaliava – Liekanos</v>
      </c>
      <c r="B374" s="380" t="b">
        <v>1</v>
      </c>
    </row>
    <row r="375" spans="1:2">
      <c r="A375" s="1123" t="str">
        <f>Translations!$B$1038</f>
        <v>Naftos perdirbimo įmonių žaliava – Kita naftos perdirbimo įmonių žaliava</v>
      </c>
      <c r="B375" s="380" t="b">
        <v>1</v>
      </c>
    </row>
    <row r="376" spans="1:2">
      <c r="A376" s="1123" t="str">
        <f>Translations!$B$1039</f>
        <v>Naftos perdirbimo įmonių žaliava – Kiti naftos produktai</v>
      </c>
      <c r="B376" s="380"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sheetPr codeName="Tabelle17" enableFormatConditionsCalculation="0">
    <tabColor indexed="12"/>
  </sheetPr>
  <dimension ref="A1:C1223"/>
  <sheetViews>
    <sheetView topLeftCell="A483" zoomScaleNormal="100" workbookViewId="0">
      <selection activeCell="B490" sqref="B490"/>
    </sheetView>
  </sheetViews>
  <sheetFormatPr defaultColWidth="11.42578125" defaultRowHeight="12.75"/>
  <cols>
    <col min="1" max="1" width="8.28515625" style="46" customWidth="1"/>
    <col min="2" max="2" width="112.42578125" style="1095" customWidth="1"/>
    <col min="3" max="3" width="12.7109375" style="46" customWidth="1"/>
    <col min="4" max="16384" width="11.42578125" style="46"/>
  </cols>
  <sheetData>
    <row r="1" spans="1:2" ht="15">
      <c r="A1" s="44"/>
      <c r="B1" s="1124" t="s">
        <v>552</v>
      </c>
    </row>
    <row r="2" spans="1:2">
      <c r="A2" s="337">
        <v>3</v>
      </c>
      <c r="B2" s="1125" t="s">
        <v>1273</v>
      </c>
    </row>
    <row r="3" spans="1:2">
      <c r="A3" s="337">
        <v>4</v>
      </c>
      <c r="B3" s="1095" t="s">
        <v>295</v>
      </c>
    </row>
    <row r="4" spans="1:2">
      <c r="A4" s="337">
        <v>5</v>
      </c>
      <c r="B4" s="1095" t="s">
        <v>296</v>
      </c>
    </row>
    <row r="5" spans="1:2">
      <c r="A5" s="337">
        <v>9</v>
      </c>
      <c r="B5" s="307" t="s">
        <v>1274</v>
      </c>
    </row>
    <row r="6" spans="1:2">
      <c r="A6" s="337">
        <v>11</v>
      </c>
      <c r="B6" s="307" t="s">
        <v>1275</v>
      </c>
    </row>
    <row r="7" spans="1:2">
      <c r="A7" s="337">
        <v>14</v>
      </c>
      <c r="B7" s="307" t="s">
        <v>1276</v>
      </c>
    </row>
    <row r="8" spans="1:2">
      <c r="A8" s="337">
        <v>28</v>
      </c>
      <c r="B8" s="307" t="s">
        <v>1277</v>
      </c>
    </row>
    <row r="9" spans="1:2">
      <c r="A9" s="337">
        <v>39</v>
      </c>
      <c r="B9" s="307" t="s">
        <v>1278</v>
      </c>
    </row>
    <row r="10" spans="1:2">
      <c r="A10" s="337">
        <v>40</v>
      </c>
      <c r="B10" s="307" t="s">
        <v>882</v>
      </c>
    </row>
    <row r="11" spans="1:2">
      <c r="A11" s="337">
        <v>43</v>
      </c>
      <c r="B11" s="307" t="s">
        <v>1279</v>
      </c>
    </row>
    <row r="12" spans="1:2">
      <c r="A12" s="337">
        <v>44</v>
      </c>
      <c r="B12" s="302" t="s">
        <v>1704</v>
      </c>
    </row>
    <row r="13" spans="1:2">
      <c r="A13" s="337">
        <v>46</v>
      </c>
      <c r="B13" s="1126" t="s">
        <v>1280</v>
      </c>
    </row>
    <row r="14" spans="1:2" ht="13.5" thickBot="1">
      <c r="A14" s="337">
        <v>47</v>
      </c>
      <c r="B14" s="1126" t="s">
        <v>1281</v>
      </c>
    </row>
    <row r="15" spans="1:2" ht="13.5" thickBot="1">
      <c r="A15" s="337">
        <v>50</v>
      </c>
      <c r="B15" s="308" t="s">
        <v>1282</v>
      </c>
    </row>
    <row r="16" spans="1:2">
      <c r="A16" s="337">
        <v>51</v>
      </c>
      <c r="B16" s="308" t="s">
        <v>1283</v>
      </c>
    </row>
    <row r="17" spans="1:2" ht="13.5" thickBot="1">
      <c r="A17" s="337">
        <v>52</v>
      </c>
      <c r="B17" s="302" t="s">
        <v>1284</v>
      </c>
    </row>
    <row r="18" spans="1:2">
      <c r="A18" s="337">
        <v>53</v>
      </c>
      <c r="B18" s="309" t="s">
        <v>1285</v>
      </c>
    </row>
    <row r="19" spans="1:2">
      <c r="A19" s="337">
        <v>54</v>
      </c>
      <c r="B19" s="310" t="s">
        <v>1286</v>
      </c>
    </row>
    <row r="20" spans="1:2">
      <c r="A20" s="337">
        <v>55</v>
      </c>
      <c r="B20" s="310" t="s">
        <v>1287</v>
      </c>
    </row>
    <row r="21" spans="1:2" ht="13.5" thickBot="1">
      <c r="A21" s="337">
        <v>56</v>
      </c>
      <c r="B21" s="311" t="s">
        <v>1288</v>
      </c>
    </row>
    <row r="22" spans="1:2" ht="26.25" thickBot="1">
      <c r="A22" s="337">
        <v>57</v>
      </c>
      <c r="B22" s="312" t="s">
        <v>333</v>
      </c>
    </row>
    <row r="23" spans="1:2" ht="13.5" thickBot="1">
      <c r="A23" s="337">
        <v>58</v>
      </c>
      <c r="B23" s="1127" t="s">
        <v>1289</v>
      </c>
    </row>
    <row r="24" spans="1:2">
      <c r="A24" s="337">
        <v>59</v>
      </c>
      <c r="B24" s="1095" t="s">
        <v>1290</v>
      </c>
    </row>
    <row r="25" spans="1:2">
      <c r="A25" s="337">
        <v>60</v>
      </c>
      <c r="B25" s="1095" t="s">
        <v>1291</v>
      </c>
    </row>
    <row r="26" spans="1:2">
      <c r="A26" s="337">
        <v>61</v>
      </c>
      <c r="B26" s="1095" t="s">
        <v>1292</v>
      </c>
    </row>
    <row r="27" spans="1:2">
      <c r="A27" s="337">
        <v>62</v>
      </c>
      <c r="B27" s="1095" t="s">
        <v>1293</v>
      </c>
    </row>
    <row r="28" spans="1:2">
      <c r="A28" s="337">
        <v>63</v>
      </c>
      <c r="B28" s="1095" t="s">
        <v>1294</v>
      </c>
    </row>
    <row r="29" spans="1:2" ht="18">
      <c r="A29" s="337">
        <v>64</v>
      </c>
      <c r="B29" s="313" t="s">
        <v>1295</v>
      </c>
    </row>
    <row r="30" spans="1:2">
      <c r="A30" s="337">
        <v>66</v>
      </c>
      <c r="B30" s="314" t="s">
        <v>1296</v>
      </c>
    </row>
    <row r="31" spans="1:2">
      <c r="A31" s="337">
        <v>67</v>
      </c>
      <c r="B31" s="1282" t="s">
        <v>1298</v>
      </c>
    </row>
    <row r="32" spans="1:2" ht="25.5">
      <c r="A32" s="337">
        <v>68</v>
      </c>
      <c r="B32" s="314" t="s">
        <v>1297</v>
      </c>
    </row>
    <row r="33" spans="1:2">
      <c r="A33" s="337">
        <v>69</v>
      </c>
      <c r="B33" s="1095" t="s">
        <v>1298</v>
      </c>
    </row>
    <row r="34" spans="1:2">
      <c r="A34" s="337">
        <v>72</v>
      </c>
      <c r="B34" s="314" t="s">
        <v>1299</v>
      </c>
    </row>
    <row r="35" spans="1:2" ht="63.75">
      <c r="A35" s="337">
        <v>73</v>
      </c>
      <c r="B35" s="1128" t="s">
        <v>1300</v>
      </c>
    </row>
    <row r="36" spans="1:2">
      <c r="A36" s="337">
        <v>79</v>
      </c>
      <c r="B36" s="314" t="s">
        <v>1301</v>
      </c>
    </row>
    <row r="37" spans="1:2">
      <c r="A37" s="337">
        <v>80</v>
      </c>
      <c r="B37" s="1095" t="s">
        <v>273</v>
      </c>
    </row>
    <row r="38" spans="1:2">
      <c r="A38" s="337">
        <v>81</v>
      </c>
      <c r="B38" s="287" t="s">
        <v>1302</v>
      </c>
    </row>
    <row r="39" spans="1:2">
      <c r="A39" s="337">
        <v>82</v>
      </c>
      <c r="B39" s="315" t="s">
        <v>1303</v>
      </c>
    </row>
    <row r="40" spans="1:2" ht="38.25">
      <c r="A40" s="337">
        <v>83</v>
      </c>
      <c r="B40" s="314" t="s">
        <v>1304</v>
      </c>
    </row>
    <row r="41" spans="1:2" ht="25.5">
      <c r="A41" s="337">
        <v>84</v>
      </c>
      <c r="B41" s="314" t="s">
        <v>1305</v>
      </c>
    </row>
    <row r="42" spans="1:2" ht="25.5">
      <c r="A42" s="337">
        <v>85</v>
      </c>
      <c r="B42" s="314" t="s">
        <v>1306</v>
      </c>
    </row>
    <row r="43" spans="1:2">
      <c r="A43" s="337">
        <v>87</v>
      </c>
      <c r="B43" s="316" t="s">
        <v>1307</v>
      </c>
    </row>
    <row r="44" spans="1:2" ht="15">
      <c r="A44" s="337">
        <v>93</v>
      </c>
      <c r="B44" s="285" t="s">
        <v>1308</v>
      </c>
    </row>
    <row r="45" spans="1:2">
      <c r="A45" s="337">
        <v>94</v>
      </c>
      <c r="B45" s="1129" t="s">
        <v>1309</v>
      </c>
    </row>
    <row r="46" spans="1:2">
      <c r="A46" s="337">
        <v>95</v>
      </c>
      <c r="B46" s="1130" t="s">
        <v>1310</v>
      </c>
    </row>
    <row r="47" spans="1:2">
      <c r="A47" s="337">
        <v>96</v>
      </c>
      <c r="B47" s="1095" t="s">
        <v>1311</v>
      </c>
    </row>
    <row r="48" spans="1:2">
      <c r="A48" s="337">
        <v>97</v>
      </c>
      <c r="B48" s="1130" t="s">
        <v>1312</v>
      </c>
    </row>
    <row r="49" spans="1:2">
      <c r="A49" s="337">
        <v>98</v>
      </c>
      <c r="B49" s="1131" t="s">
        <v>43</v>
      </c>
    </row>
    <row r="50" spans="1:2">
      <c r="A50" s="337">
        <v>99</v>
      </c>
      <c r="B50" s="1130" t="s">
        <v>1313</v>
      </c>
    </row>
    <row r="51" spans="1:2">
      <c r="A51" s="337">
        <v>100</v>
      </c>
      <c r="B51" s="1129" t="s">
        <v>1314</v>
      </c>
    </row>
    <row r="52" spans="1:2">
      <c r="A52" s="337">
        <v>101</v>
      </c>
      <c r="B52" s="317" t="s">
        <v>1315</v>
      </c>
    </row>
    <row r="53" spans="1:2">
      <c r="A53" s="337">
        <v>102</v>
      </c>
      <c r="B53" s="1129" t="s">
        <v>1316</v>
      </c>
    </row>
    <row r="54" spans="1:2">
      <c r="A54" s="337">
        <v>103</v>
      </c>
      <c r="B54" s="317" t="s">
        <v>1317</v>
      </c>
    </row>
    <row r="55" spans="1:2" ht="15.75">
      <c r="A55" s="337">
        <v>104</v>
      </c>
      <c r="B55" s="282" t="s">
        <v>1318</v>
      </c>
    </row>
    <row r="56" spans="1:2" ht="25.5">
      <c r="A56" s="337">
        <v>106</v>
      </c>
      <c r="B56" s="314" t="s">
        <v>1319</v>
      </c>
    </row>
    <row r="57" spans="1:2" ht="51">
      <c r="A57" s="337">
        <v>107</v>
      </c>
      <c r="B57" s="314" t="s">
        <v>1320</v>
      </c>
    </row>
    <row r="58" spans="1:2">
      <c r="A58" s="337">
        <v>108</v>
      </c>
      <c r="B58" s="315" t="s">
        <v>1321</v>
      </c>
    </row>
    <row r="59" spans="1:2">
      <c r="A59" s="337">
        <v>109</v>
      </c>
      <c r="B59" s="76" t="s">
        <v>1322</v>
      </c>
    </row>
    <row r="60" spans="1:2">
      <c r="A60" s="337">
        <v>110</v>
      </c>
      <c r="B60" s="314" t="s">
        <v>1323</v>
      </c>
    </row>
    <row r="61" spans="1:2">
      <c r="A61" s="337">
        <v>111</v>
      </c>
      <c r="B61" s="318" t="s">
        <v>1324</v>
      </c>
    </row>
    <row r="62" spans="1:2">
      <c r="A62" s="337">
        <v>112</v>
      </c>
      <c r="B62" s="314" t="s">
        <v>1325</v>
      </c>
    </row>
    <row r="63" spans="1:2">
      <c r="A63" s="337">
        <v>114</v>
      </c>
      <c r="B63" s="320" t="s">
        <v>1326</v>
      </c>
    </row>
    <row r="64" spans="1:2">
      <c r="A64" s="337">
        <v>118</v>
      </c>
      <c r="B64" s="314" t="s">
        <v>1327</v>
      </c>
    </row>
    <row r="65" spans="1:2" ht="38.25">
      <c r="A65" s="337">
        <v>120</v>
      </c>
      <c r="B65" s="284" t="s">
        <v>1328</v>
      </c>
    </row>
    <row r="66" spans="1:2" ht="51">
      <c r="A66" s="337">
        <v>121</v>
      </c>
      <c r="B66" s="283" t="s">
        <v>1329</v>
      </c>
    </row>
    <row r="67" spans="1:2" ht="64.5" thickBot="1">
      <c r="A67" s="337">
        <v>122</v>
      </c>
      <c r="B67" s="284" t="s">
        <v>1330</v>
      </c>
    </row>
    <row r="68" spans="1:2" ht="77.25" thickBot="1">
      <c r="A68" s="337">
        <v>123</v>
      </c>
      <c r="B68" s="1132" t="s">
        <v>1331</v>
      </c>
    </row>
    <row r="69" spans="1:2" ht="39" thickBot="1">
      <c r="A69" s="337">
        <v>126</v>
      </c>
      <c r="B69" s="321" t="s">
        <v>1332</v>
      </c>
    </row>
    <row r="70" spans="1:2" ht="15.75">
      <c r="A70" s="337">
        <v>128</v>
      </c>
      <c r="B70" s="282" t="s">
        <v>1333</v>
      </c>
    </row>
    <row r="71" spans="1:2">
      <c r="A71" s="337">
        <v>139</v>
      </c>
      <c r="B71" s="323" t="s">
        <v>1334</v>
      </c>
    </row>
    <row r="72" spans="1:2">
      <c r="A72" s="337">
        <v>141</v>
      </c>
      <c r="B72" s="323" t="s">
        <v>1335</v>
      </c>
    </row>
    <row r="73" spans="1:2">
      <c r="A73" s="337">
        <v>144</v>
      </c>
      <c r="B73" s="323" t="s">
        <v>1336</v>
      </c>
    </row>
    <row r="74" spans="1:2">
      <c r="A74" s="337">
        <v>148</v>
      </c>
      <c r="B74" s="1095" t="s">
        <v>1337</v>
      </c>
    </row>
    <row r="75" spans="1:2">
      <c r="A75" s="337">
        <v>149</v>
      </c>
      <c r="B75" s="1095" t="s">
        <v>1338</v>
      </c>
    </row>
    <row r="76" spans="1:2">
      <c r="A76" s="337">
        <v>152</v>
      </c>
      <c r="B76" s="204" t="s">
        <v>1339</v>
      </c>
    </row>
    <row r="77" spans="1:2">
      <c r="A77" s="337">
        <v>153</v>
      </c>
      <c r="B77" s="204" t="s">
        <v>1705</v>
      </c>
    </row>
    <row r="78" spans="1:2">
      <c r="A78" s="337">
        <v>154</v>
      </c>
      <c r="B78" s="289" t="s">
        <v>1340</v>
      </c>
    </row>
    <row r="79" spans="1:2">
      <c r="A79" s="337">
        <v>155</v>
      </c>
      <c r="B79" s="1133" t="s">
        <v>909</v>
      </c>
    </row>
    <row r="80" spans="1:2">
      <c r="A80" s="337">
        <v>158</v>
      </c>
      <c r="B80" s="302" t="s">
        <v>1341</v>
      </c>
    </row>
    <row r="81" spans="1:2">
      <c r="A81" s="337">
        <v>159</v>
      </c>
      <c r="B81" s="324" t="s">
        <v>1342</v>
      </c>
    </row>
    <row r="82" spans="1:2">
      <c r="A82" s="337">
        <v>162</v>
      </c>
      <c r="B82" s="325" t="s">
        <v>1343</v>
      </c>
    </row>
    <row r="83" spans="1:2">
      <c r="A83" s="337">
        <v>163</v>
      </c>
      <c r="B83" s="326" t="s">
        <v>1344</v>
      </c>
    </row>
    <row r="84" spans="1:2">
      <c r="A84" s="337">
        <v>164</v>
      </c>
      <c r="B84" s="324" t="s">
        <v>1345</v>
      </c>
    </row>
    <row r="85" spans="1:2">
      <c r="A85" s="337">
        <v>165</v>
      </c>
      <c r="B85" s="324" t="s">
        <v>1346</v>
      </c>
    </row>
    <row r="86" spans="1:2">
      <c r="A86" s="337">
        <v>166</v>
      </c>
      <c r="B86" s="324" t="s">
        <v>1347</v>
      </c>
    </row>
    <row r="87" spans="1:2">
      <c r="A87" s="337">
        <v>167</v>
      </c>
      <c r="B87" s="324" t="s">
        <v>1348</v>
      </c>
    </row>
    <row r="88" spans="1:2">
      <c r="A88" s="337">
        <v>169</v>
      </c>
      <c r="B88" s="324" t="s">
        <v>1349</v>
      </c>
    </row>
    <row r="89" spans="1:2">
      <c r="A89" s="337">
        <v>171</v>
      </c>
      <c r="B89" s="325" t="s">
        <v>1350</v>
      </c>
    </row>
    <row r="90" spans="1:2">
      <c r="A90" s="337">
        <v>175</v>
      </c>
      <c r="B90" s="76" t="s">
        <v>1706</v>
      </c>
    </row>
    <row r="91" spans="1:2">
      <c r="A91" s="337">
        <v>177</v>
      </c>
      <c r="B91" s="76" t="s">
        <v>1351</v>
      </c>
    </row>
    <row r="92" spans="1:2">
      <c r="A92" s="337">
        <v>178</v>
      </c>
      <c r="B92" s="76" t="s">
        <v>1352</v>
      </c>
    </row>
    <row r="93" spans="1:2">
      <c r="A93" s="337">
        <v>179</v>
      </c>
      <c r="B93" s="76" t="s">
        <v>1353</v>
      </c>
    </row>
    <row r="94" spans="1:2">
      <c r="A94" s="337">
        <v>180</v>
      </c>
      <c r="B94" s="76" t="s">
        <v>1354</v>
      </c>
    </row>
    <row r="95" spans="1:2">
      <c r="A95" s="337">
        <v>181</v>
      </c>
      <c r="B95" s="76" t="s">
        <v>1355</v>
      </c>
    </row>
    <row r="96" spans="1:2">
      <c r="A96" s="337">
        <v>185</v>
      </c>
      <c r="B96" s="1095" t="s">
        <v>1356</v>
      </c>
    </row>
    <row r="97" spans="1:2">
      <c r="A97" s="337">
        <v>187</v>
      </c>
      <c r="B97" s="1095" t="s">
        <v>1357</v>
      </c>
    </row>
    <row r="98" spans="1:2">
      <c r="A98" s="337">
        <v>188</v>
      </c>
      <c r="B98" s="1095" t="s">
        <v>703</v>
      </c>
    </row>
    <row r="99" spans="1:2">
      <c r="A99" s="337">
        <v>199</v>
      </c>
      <c r="B99" s="49" t="s">
        <v>1358</v>
      </c>
    </row>
    <row r="100" spans="1:2">
      <c r="A100" s="337">
        <v>200</v>
      </c>
      <c r="B100" s="49" t="s">
        <v>1359</v>
      </c>
    </row>
    <row r="101" spans="1:2">
      <c r="A101" s="337">
        <v>201</v>
      </c>
      <c r="B101" s="49" t="s">
        <v>1360</v>
      </c>
    </row>
    <row r="102" spans="1:2" ht="22.5">
      <c r="A102" s="337">
        <v>202</v>
      </c>
      <c r="B102" s="49" t="s">
        <v>1361</v>
      </c>
    </row>
    <row r="103" spans="1:2">
      <c r="A103" s="337">
        <v>203</v>
      </c>
      <c r="B103" s="49" t="s">
        <v>1362</v>
      </c>
    </row>
    <row r="104" spans="1:2" ht="22.5">
      <c r="A104" s="337">
        <v>204</v>
      </c>
      <c r="B104" s="49" t="s">
        <v>1363</v>
      </c>
    </row>
    <row r="105" spans="1:2">
      <c r="A105" s="337">
        <v>205</v>
      </c>
      <c r="B105" s="1095" t="s">
        <v>332</v>
      </c>
    </row>
    <row r="106" spans="1:2">
      <c r="A106" s="337">
        <v>206</v>
      </c>
      <c r="B106" s="49" t="s">
        <v>1364</v>
      </c>
    </row>
    <row r="107" spans="1:2">
      <c r="A107" s="337">
        <v>208</v>
      </c>
      <c r="B107" s="248" t="s">
        <v>1365</v>
      </c>
    </row>
    <row r="108" spans="1:2">
      <c r="A108" s="337">
        <v>209</v>
      </c>
      <c r="B108" s="248" t="s">
        <v>1366</v>
      </c>
    </row>
    <row r="109" spans="1:2">
      <c r="A109" s="337">
        <v>210</v>
      </c>
      <c r="B109" s="248" t="s">
        <v>1367</v>
      </c>
    </row>
    <row r="110" spans="1:2">
      <c r="A110" s="337">
        <v>211</v>
      </c>
      <c r="B110" s="248" t="s">
        <v>1368</v>
      </c>
    </row>
    <row r="111" spans="1:2">
      <c r="A111" s="337">
        <v>212</v>
      </c>
      <c r="B111" s="290" t="s">
        <v>1369</v>
      </c>
    </row>
    <row r="112" spans="1:2">
      <c r="A112" s="337">
        <v>213</v>
      </c>
      <c r="B112" s="290" t="s">
        <v>1370</v>
      </c>
    </row>
    <row r="113" spans="1:2">
      <c r="A113" s="337">
        <v>214</v>
      </c>
      <c r="B113" s="290" t="s">
        <v>1371</v>
      </c>
    </row>
    <row r="114" spans="1:2">
      <c r="A114" s="337">
        <v>215</v>
      </c>
      <c r="B114" s="290" t="s">
        <v>1372</v>
      </c>
    </row>
    <row r="115" spans="1:2" ht="22.5">
      <c r="A115" s="337">
        <v>233</v>
      </c>
      <c r="B115" s="292" t="s">
        <v>1373</v>
      </c>
    </row>
    <row r="116" spans="1:2">
      <c r="A116" s="337">
        <v>236</v>
      </c>
      <c r="B116" s="1134" t="s">
        <v>1374</v>
      </c>
    </row>
    <row r="117" spans="1:2">
      <c r="A117" s="337">
        <v>237</v>
      </c>
      <c r="B117" s="1134" t="s">
        <v>1375</v>
      </c>
    </row>
    <row r="118" spans="1:2">
      <c r="A118" s="337">
        <v>238</v>
      </c>
      <c r="B118" s="1134" t="s">
        <v>1376</v>
      </c>
    </row>
    <row r="119" spans="1:2">
      <c r="A119" s="337">
        <v>239</v>
      </c>
      <c r="B119" s="1134" t="s">
        <v>1377</v>
      </c>
    </row>
    <row r="120" spans="1:2">
      <c r="A120" s="337">
        <v>240</v>
      </c>
      <c r="B120" s="1134" t="s">
        <v>1378</v>
      </c>
    </row>
    <row r="121" spans="1:2">
      <c r="A121" s="337">
        <v>241</v>
      </c>
      <c r="B121" s="1134" t="s">
        <v>1379</v>
      </c>
    </row>
    <row r="122" spans="1:2">
      <c r="A122" s="337">
        <v>264</v>
      </c>
      <c r="B122" s="76" t="s">
        <v>1380</v>
      </c>
    </row>
    <row r="123" spans="1:2" ht="22.5">
      <c r="A123" s="337">
        <v>266</v>
      </c>
      <c r="B123" s="49" t="s">
        <v>1381</v>
      </c>
    </row>
    <row r="124" spans="1:2">
      <c r="A124" s="337">
        <v>272</v>
      </c>
      <c r="B124" s="327" t="s">
        <v>1382</v>
      </c>
    </row>
    <row r="125" spans="1:2">
      <c r="A125" s="337">
        <v>273</v>
      </c>
      <c r="B125" s="327" t="s">
        <v>1383</v>
      </c>
    </row>
    <row r="126" spans="1:2">
      <c r="A126" s="337">
        <v>277</v>
      </c>
      <c r="B126" s="328" t="s">
        <v>1384</v>
      </c>
    </row>
    <row r="127" spans="1:2">
      <c r="A127" s="337">
        <v>278</v>
      </c>
      <c r="B127" s="295" t="s">
        <v>1385</v>
      </c>
    </row>
    <row r="128" spans="1:2">
      <c r="A128" s="337">
        <v>283</v>
      </c>
      <c r="B128" s="49" t="s">
        <v>1386</v>
      </c>
    </row>
    <row r="129" spans="1:2">
      <c r="A129" s="337">
        <v>287</v>
      </c>
      <c r="B129" s="327" t="s">
        <v>1387</v>
      </c>
    </row>
    <row r="130" spans="1:2">
      <c r="A130" s="337">
        <v>288</v>
      </c>
      <c r="B130" s="293" t="s">
        <v>1388</v>
      </c>
    </row>
    <row r="131" spans="1:2">
      <c r="A131" s="337">
        <v>289</v>
      </c>
      <c r="B131" s="304" t="s">
        <v>1389</v>
      </c>
    </row>
    <row r="132" spans="1:2">
      <c r="A132" s="337">
        <v>290</v>
      </c>
      <c r="B132" s="296" t="s">
        <v>1390</v>
      </c>
    </row>
    <row r="133" spans="1:2">
      <c r="A133" s="337">
        <v>294</v>
      </c>
      <c r="B133" s="304" t="s">
        <v>1391</v>
      </c>
    </row>
    <row r="134" spans="1:2">
      <c r="A134" s="337">
        <v>295</v>
      </c>
      <c r="B134" s="296" t="s">
        <v>1392</v>
      </c>
    </row>
    <row r="135" spans="1:2">
      <c r="A135" s="337">
        <v>312</v>
      </c>
      <c r="B135" s="329" t="s">
        <v>1393</v>
      </c>
    </row>
    <row r="136" spans="1:2">
      <c r="A136" s="337">
        <v>365</v>
      </c>
      <c r="B136" s="297" t="s">
        <v>1394</v>
      </c>
    </row>
    <row r="137" spans="1:2">
      <c r="A137" s="337">
        <v>366</v>
      </c>
      <c r="B137" s="297" t="s">
        <v>1395</v>
      </c>
    </row>
    <row r="138" spans="1:2">
      <c r="A138" s="337">
        <v>388</v>
      </c>
      <c r="B138" s="291" t="s">
        <v>1396</v>
      </c>
    </row>
    <row r="139" spans="1:2">
      <c r="A139" s="337">
        <v>393</v>
      </c>
      <c r="B139" s="296" t="s">
        <v>1397</v>
      </c>
    </row>
    <row r="140" spans="1:2">
      <c r="A140" s="337">
        <v>396</v>
      </c>
      <c r="B140" s="296" t="s">
        <v>1398</v>
      </c>
    </row>
    <row r="141" spans="1:2">
      <c r="A141" s="337">
        <v>441</v>
      </c>
      <c r="B141" s="177" t="s">
        <v>1399</v>
      </c>
    </row>
    <row r="142" spans="1:2">
      <c r="A142" s="337">
        <v>456</v>
      </c>
      <c r="B142" s="1135" t="s">
        <v>1400</v>
      </c>
    </row>
    <row r="143" spans="1:2" ht="22.5">
      <c r="A143" s="337">
        <v>493</v>
      </c>
      <c r="B143" s="298" t="s">
        <v>1401</v>
      </c>
    </row>
    <row r="144" spans="1:2" ht="22.5">
      <c r="A144" s="337">
        <v>497</v>
      </c>
      <c r="B144" s="300" t="s">
        <v>1402</v>
      </c>
    </row>
    <row r="145" spans="1:2">
      <c r="A145" s="337">
        <v>498</v>
      </c>
      <c r="B145" s="49" t="s">
        <v>1403</v>
      </c>
    </row>
    <row r="146" spans="1:2">
      <c r="A146" s="337">
        <v>499</v>
      </c>
      <c r="B146" s="299" t="s">
        <v>1404</v>
      </c>
    </row>
    <row r="147" spans="1:2" ht="22.5">
      <c r="A147" s="337">
        <v>501</v>
      </c>
      <c r="B147" s="298" t="s">
        <v>1405</v>
      </c>
    </row>
    <row r="148" spans="1:2">
      <c r="A148" s="337">
        <v>503</v>
      </c>
      <c r="B148" s="298" t="s">
        <v>1406</v>
      </c>
    </row>
    <row r="149" spans="1:2">
      <c r="A149" s="337">
        <v>505</v>
      </c>
      <c r="B149" s="49" t="s">
        <v>1407</v>
      </c>
    </row>
    <row r="150" spans="1:2">
      <c r="A150" s="337">
        <v>506</v>
      </c>
      <c r="B150" s="49" t="s">
        <v>1408</v>
      </c>
    </row>
    <row r="151" spans="1:2" ht="22.5">
      <c r="A151" s="337">
        <v>507</v>
      </c>
      <c r="B151" s="49" t="s">
        <v>1409</v>
      </c>
    </row>
    <row r="152" spans="1:2" ht="22.5">
      <c r="A152" s="337">
        <v>510</v>
      </c>
      <c r="B152" s="299" t="s">
        <v>1410</v>
      </c>
    </row>
    <row r="153" spans="1:2">
      <c r="A153" s="337">
        <v>521</v>
      </c>
      <c r="B153" s="1136" t="s">
        <v>1411</v>
      </c>
    </row>
    <row r="154" spans="1:2">
      <c r="A154" s="337">
        <v>522</v>
      </c>
      <c r="B154" s="1136" t="s">
        <v>1412</v>
      </c>
    </row>
    <row r="155" spans="1:2">
      <c r="A155" s="337">
        <v>523</v>
      </c>
      <c r="B155" s="1136" t="s">
        <v>1413</v>
      </c>
    </row>
    <row r="156" spans="1:2">
      <c r="A156" s="337">
        <v>526</v>
      </c>
      <c r="B156" s="1135" t="s">
        <v>1023</v>
      </c>
    </row>
    <row r="157" spans="1:2">
      <c r="A157" s="337">
        <v>529</v>
      </c>
      <c r="B157" s="177" t="s">
        <v>1414</v>
      </c>
    </row>
    <row r="158" spans="1:2">
      <c r="A158" s="337">
        <v>535</v>
      </c>
      <c r="B158" s="294" t="s">
        <v>1415</v>
      </c>
    </row>
    <row r="159" spans="1:2">
      <c r="A159" s="337">
        <v>541</v>
      </c>
      <c r="B159" s="177" t="s">
        <v>1416</v>
      </c>
    </row>
    <row r="160" spans="1:2">
      <c r="A160" s="337">
        <v>545</v>
      </c>
      <c r="B160" s="303" t="s">
        <v>1417</v>
      </c>
    </row>
    <row r="161" spans="1:2">
      <c r="A161" s="337">
        <v>583</v>
      </c>
      <c r="B161" s="177" t="s">
        <v>1418</v>
      </c>
    </row>
    <row r="162" spans="1:2">
      <c r="A162" s="337">
        <v>595</v>
      </c>
      <c r="B162" s="303" t="s">
        <v>1419</v>
      </c>
    </row>
    <row r="163" spans="1:2">
      <c r="A163" s="337">
        <v>641</v>
      </c>
      <c r="B163" s="76" t="s">
        <v>1420</v>
      </c>
    </row>
    <row r="164" spans="1:2">
      <c r="A164" s="337">
        <v>645</v>
      </c>
      <c r="B164" s="275" t="s">
        <v>1421</v>
      </c>
    </row>
    <row r="165" spans="1:2">
      <c r="A165" s="337">
        <v>646</v>
      </c>
      <c r="B165" s="280" t="s">
        <v>1422</v>
      </c>
    </row>
    <row r="166" spans="1:2" ht="15">
      <c r="A166" s="337">
        <v>651</v>
      </c>
      <c r="B166" s="176" t="s">
        <v>1423</v>
      </c>
    </row>
    <row r="167" spans="1:2">
      <c r="A167" s="337">
        <v>667</v>
      </c>
      <c r="B167" s="1137" t="s">
        <v>1424</v>
      </c>
    </row>
    <row r="168" spans="1:2">
      <c r="A168" s="337">
        <v>682</v>
      </c>
      <c r="B168" s="277" t="s">
        <v>1280</v>
      </c>
    </row>
    <row r="169" spans="1:2">
      <c r="A169" s="337">
        <v>687</v>
      </c>
      <c r="B169" s="277" t="s">
        <v>1425</v>
      </c>
    </row>
    <row r="170" spans="1:2">
      <c r="A170" s="337">
        <v>693</v>
      </c>
      <c r="B170" s="280" t="s">
        <v>1280</v>
      </c>
    </row>
    <row r="171" spans="1:2">
      <c r="A171" s="337">
        <v>694</v>
      </c>
      <c r="B171" s="280" t="s">
        <v>1426</v>
      </c>
    </row>
    <row r="172" spans="1:2">
      <c r="A172" s="337">
        <v>768</v>
      </c>
      <c r="B172" s="248" t="s">
        <v>1427</v>
      </c>
    </row>
    <row r="173" spans="1:2">
      <c r="A173" s="337">
        <v>769</v>
      </c>
      <c r="B173" s="248" t="s">
        <v>1428</v>
      </c>
    </row>
    <row r="174" spans="1:2">
      <c r="A174" s="337">
        <v>773</v>
      </c>
      <c r="B174" s="248" t="s">
        <v>1429</v>
      </c>
    </row>
    <row r="175" spans="1:2">
      <c r="A175" s="337">
        <v>774</v>
      </c>
      <c r="B175" s="248" t="s">
        <v>1430</v>
      </c>
    </row>
    <row r="176" spans="1:2">
      <c r="A176" s="337">
        <v>781</v>
      </c>
      <c r="B176" s="76" t="s">
        <v>1431</v>
      </c>
    </row>
    <row r="177" spans="1:2">
      <c r="A177" s="337">
        <v>784</v>
      </c>
      <c r="B177" s="100" t="s">
        <v>1432</v>
      </c>
    </row>
    <row r="178" spans="1:2">
      <c r="A178" s="337">
        <v>785</v>
      </c>
      <c r="B178" s="100" t="s">
        <v>1433</v>
      </c>
    </row>
    <row r="179" spans="1:2">
      <c r="A179" s="337">
        <v>786</v>
      </c>
      <c r="B179" s="100" t="s">
        <v>1434</v>
      </c>
    </row>
    <row r="180" spans="1:2">
      <c r="A180" s="337">
        <v>787</v>
      </c>
      <c r="B180" s="100" t="s">
        <v>1435</v>
      </c>
    </row>
    <row r="181" spans="1:2">
      <c r="A181" s="337">
        <v>788</v>
      </c>
      <c r="B181" s="100" t="s">
        <v>1264</v>
      </c>
    </row>
    <row r="182" spans="1:2">
      <c r="A182" s="337">
        <v>790</v>
      </c>
      <c r="B182" s="100" t="s">
        <v>1436</v>
      </c>
    </row>
    <row r="183" spans="1:2">
      <c r="A183" s="337">
        <v>791</v>
      </c>
      <c r="B183" s="100" t="s">
        <v>1437</v>
      </c>
    </row>
    <row r="184" spans="1:2">
      <c r="A184" s="337">
        <v>792</v>
      </c>
      <c r="B184" s="100" t="s">
        <v>1438</v>
      </c>
    </row>
    <row r="185" spans="1:2">
      <c r="A185" s="337">
        <v>794</v>
      </c>
      <c r="B185" s="100" t="s">
        <v>1439</v>
      </c>
    </row>
    <row r="186" spans="1:2">
      <c r="A186" s="337">
        <v>795</v>
      </c>
      <c r="B186" s="100" t="s">
        <v>1440</v>
      </c>
    </row>
    <row r="187" spans="1:2">
      <c r="A187" s="337">
        <v>796</v>
      </c>
      <c r="B187" s="100" t="s">
        <v>1441</v>
      </c>
    </row>
    <row r="188" spans="1:2">
      <c r="A188" s="337">
        <v>797</v>
      </c>
      <c r="B188" s="100" t="s">
        <v>1442</v>
      </c>
    </row>
    <row r="189" spans="1:2">
      <c r="A189" s="337">
        <v>798</v>
      </c>
      <c r="B189" s="100" t="s">
        <v>1443</v>
      </c>
    </row>
    <row r="190" spans="1:2">
      <c r="A190" s="337">
        <v>799</v>
      </c>
      <c r="B190" s="100" t="s">
        <v>1444</v>
      </c>
    </row>
    <row r="191" spans="1:2">
      <c r="A191" s="337">
        <v>800</v>
      </c>
      <c r="B191" s="100" t="s">
        <v>1445</v>
      </c>
    </row>
    <row r="192" spans="1:2">
      <c r="A192" s="337">
        <v>801</v>
      </c>
      <c r="B192" s="100" t="s">
        <v>1446</v>
      </c>
    </row>
    <row r="193" spans="1:2">
      <c r="A193" s="337">
        <v>802</v>
      </c>
      <c r="B193" s="100" t="s">
        <v>1447</v>
      </c>
    </row>
    <row r="194" spans="1:2">
      <c r="A194" s="337">
        <v>803</v>
      </c>
      <c r="B194" s="100" t="s">
        <v>1448</v>
      </c>
    </row>
    <row r="195" spans="1:2">
      <c r="A195" s="337">
        <v>804</v>
      </c>
      <c r="B195" s="100" t="s">
        <v>1449</v>
      </c>
    </row>
    <row r="196" spans="1:2">
      <c r="A196" s="337">
        <v>805</v>
      </c>
      <c r="B196" s="1138" t="s">
        <v>1265</v>
      </c>
    </row>
    <row r="197" spans="1:2">
      <c r="A197" s="337">
        <v>806</v>
      </c>
      <c r="B197" s="1138" t="s">
        <v>1450</v>
      </c>
    </row>
    <row r="198" spans="1:2">
      <c r="A198" s="337">
        <v>807</v>
      </c>
      <c r="B198" s="1139" t="s">
        <v>1451</v>
      </c>
    </row>
    <row r="199" spans="1:2">
      <c r="A199" s="337">
        <v>808</v>
      </c>
      <c r="B199" s="1140" t="s">
        <v>1452</v>
      </c>
    </row>
    <row r="200" spans="1:2">
      <c r="A200" s="337">
        <v>809</v>
      </c>
      <c r="B200" s="1139" t="s">
        <v>1453</v>
      </c>
    </row>
    <row r="201" spans="1:2">
      <c r="A201" s="337">
        <v>810</v>
      </c>
      <c r="B201" s="1139" t="s">
        <v>1454</v>
      </c>
    </row>
    <row r="202" spans="1:2">
      <c r="A202" s="337">
        <v>811</v>
      </c>
      <c r="B202" s="1139" t="s">
        <v>1455</v>
      </c>
    </row>
    <row r="203" spans="1:2">
      <c r="A203" s="337">
        <v>812</v>
      </c>
      <c r="B203" s="1139" t="s">
        <v>1456</v>
      </c>
    </row>
    <row r="204" spans="1:2">
      <c r="A204" s="337">
        <v>813</v>
      </c>
      <c r="B204" s="1139" t="s">
        <v>1457</v>
      </c>
    </row>
    <row r="205" spans="1:2">
      <c r="A205" s="337">
        <v>814</v>
      </c>
      <c r="B205" s="1139" t="s">
        <v>1458</v>
      </c>
    </row>
    <row r="206" spans="1:2">
      <c r="A206" s="337">
        <v>815</v>
      </c>
      <c r="B206" s="1139" t="s">
        <v>1459</v>
      </c>
    </row>
    <row r="207" spans="1:2">
      <c r="A207" s="337">
        <v>816</v>
      </c>
      <c r="B207" s="1139" t="s">
        <v>1460</v>
      </c>
    </row>
    <row r="208" spans="1:2">
      <c r="A208" s="337">
        <v>817</v>
      </c>
      <c r="B208" s="1139" t="s">
        <v>1461</v>
      </c>
    </row>
    <row r="209" spans="1:2">
      <c r="A209" s="337">
        <v>818</v>
      </c>
      <c r="B209" s="1139" t="s">
        <v>1462</v>
      </c>
    </row>
    <row r="210" spans="1:2">
      <c r="A210" s="337">
        <v>819</v>
      </c>
      <c r="B210" s="1139" t="s">
        <v>1463</v>
      </c>
    </row>
    <row r="211" spans="1:2">
      <c r="A211" s="337">
        <v>820</v>
      </c>
      <c r="B211" s="1139" t="s">
        <v>1464</v>
      </c>
    </row>
    <row r="212" spans="1:2">
      <c r="A212" s="337">
        <v>821</v>
      </c>
      <c r="B212" s="1139" t="s">
        <v>1266</v>
      </c>
    </row>
    <row r="213" spans="1:2">
      <c r="A213" s="337">
        <v>822</v>
      </c>
      <c r="B213" s="1139" t="s">
        <v>1465</v>
      </c>
    </row>
    <row r="214" spans="1:2">
      <c r="A214" s="337">
        <v>823</v>
      </c>
      <c r="B214" s="1139" t="s">
        <v>1267</v>
      </c>
    </row>
    <row r="215" spans="1:2">
      <c r="A215" s="337">
        <v>824</v>
      </c>
      <c r="B215" s="1139" t="s">
        <v>1466</v>
      </c>
    </row>
    <row r="216" spans="1:2">
      <c r="A216" s="337">
        <v>825</v>
      </c>
      <c r="B216" s="1139" t="s">
        <v>1467</v>
      </c>
    </row>
    <row r="217" spans="1:2">
      <c r="A217" s="337">
        <v>826</v>
      </c>
      <c r="B217" s="1139" t="s">
        <v>1468</v>
      </c>
    </row>
    <row r="218" spans="1:2">
      <c r="A218" s="337">
        <v>827</v>
      </c>
      <c r="B218" s="1139" t="s">
        <v>1469</v>
      </c>
    </row>
    <row r="219" spans="1:2">
      <c r="A219" s="337">
        <v>828</v>
      </c>
      <c r="B219" s="1139" t="s">
        <v>1467</v>
      </c>
    </row>
    <row r="220" spans="1:2">
      <c r="A220" s="337">
        <v>829</v>
      </c>
      <c r="B220" s="1139" t="s">
        <v>1470</v>
      </c>
    </row>
    <row r="221" spans="1:2">
      <c r="A221" s="337">
        <v>830</v>
      </c>
      <c r="B221" s="1139" t="s">
        <v>1471</v>
      </c>
    </row>
    <row r="222" spans="1:2">
      <c r="A222" s="337">
        <v>831</v>
      </c>
      <c r="B222" s="1139" t="s">
        <v>1472</v>
      </c>
    </row>
    <row r="223" spans="1:2">
      <c r="A223" s="337">
        <v>832</v>
      </c>
      <c r="B223" s="1139" t="s">
        <v>1473</v>
      </c>
    </row>
    <row r="224" spans="1:2">
      <c r="A224" s="337">
        <v>833</v>
      </c>
      <c r="B224" s="1139" t="s">
        <v>1474</v>
      </c>
    </row>
    <row r="225" spans="1:2">
      <c r="A225" s="337">
        <v>834</v>
      </c>
      <c r="B225" s="1139" t="s">
        <v>1475</v>
      </c>
    </row>
    <row r="226" spans="1:2">
      <c r="A226" s="337">
        <v>835</v>
      </c>
      <c r="B226" s="1139" t="s">
        <v>1476</v>
      </c>
    </row>
    <row r="227" spans="1:2">
      <c r="A227" s="337">
        <v>836</v>
      </c>
      <c r="B227" s="1138" t="s">
        <v>1477</v>
      </c>
    </row>
    <row r="228" spans="1:2">
      <c r="A228" s="337">
        <v>837</v>
      </c>
      <c r="B228" s="1138" t="s">
        <v>1478</v>
      </c>
    </row>
    <row r="229" spans="1:2">
      <c r="A229" s="337">
        <v>844</v>
      </c>
      <c r="B229" s="1141" t="s">
        <v>1479</v>
      </c>
    </row>
    <row r="230" spans="1:2">
      <c r="A230" s="337">
        <v>846</v>
      </c>
      <c r="B230" s="1142" t="s">
        <v>1480</v>
      </c>
    </row>
    <row r="231" spans="1:2">
      <c r="A231" s="337">
        <v>847</v>
      </c>
      <c r="B231" s="1142" t="s">
        <v>1481</v>
      </c>
    </row>
    <row r="232" spans="1:2">
      <c r="A232" s="337">
        <v>848</v>
      </c>
      <c r="B232" s="1142" t="s">
        <v>1482</v>
      </c>
    </row>
    <row r="233" spans="1:2">
      <c r="A233" s="337">
        <v>849</v>
      </c>
      <c r="B233" s="1142" t="s">
        <v>1483</v>
      </c>
    </row>
    <row r="234" spans="1:2">
      <c r="A234" s="337">
        <v>850</v>
      </c>
      <c r="B234" s="1142" t="s">
        <v>1484</v>
      </c>
    </row>
    <row r="235" spans="1:2">
      <c r="A235" s="337">
        <v>851</v>
      </c>
      <c r="B235" s="1142" t="s">
        <v>1485</v>
      </c>
    </row>
    <row r="236" spans="1:2">
      <c r="A236" s="337">
        <v>852</v>
      </c>
      <c r="B236" s="1142" t="s">
        <v>1486</v>
      </c>
    </row>
    <row r="237" spans="1:2">
      <c r="A237" s="337">
        <v>853</v>
      </c>
      <c r="B237" s="1142" t="s">
        <v>1487</v>
      </c>
    </row>
    <row r="238" spans="1:2">
      <c r="A238" s="337">
        <v>854</v>
      </c>
      <c r="B238" s="1141" t="s">
        <v>1488</v>
      </c>
    </row>
    <row r="239" spans="1:2">
      <c r="A239" s="337">
        <v>855</v>
      </c>
      <c r="B239" s="1140" t="s">
        <v>1489</v>
      </c>
    </row>
    <row r="240" spans="1:2">
      <c r="A240" s="337">
        <v>856</v>
      </c>
      <c r="B240" s="1143" t="s">
        <v>1365</v>
      </c>
    </row>
    <row r="241" spans="1:2">
      <c r="A241" s="337">
        <v>857</v>
      </c>
      <c r="B241" s="1144" t="s">
        <v>1490</v>
      </c>
    </row>
    <row r="242" spans="1:2">
      <c r="A242" s="337">
        <v>858</v>
      </c>
      <c r="B242" s="1144" t="s">
        <v>1491</v>
      </c>
    </row>
    <row r="243" spans="1:2">
      <c r="A243" s="337">
        <v>859</v>
      </c>
      <c r="B243" s="1144" t="s">
        <v>1492</v>
      </c>
    </row>
    <row r="244" spans="1:2">
      <c r="A244" s="337">
        <v>860</v>
      </c>
      <c r="B244" s="1144" t="s">
        <v>1493</v>
      </c>
    </row>
    <row r="245" spans="1:2">
      <c r="A245" s="337">
        <v>861</v>
      </c>
      <c r="B245" s="1144" t="s">
        <v>1494</v>
      </c>
    </row>
    <row r="246" spans="1:2">
      <c r="A246" s="337">
        <v>862</v>
      </c>
      <c r="B246" s="1144" t="s">
        <v>1495</v>
      </c>
    </row>
    <row r="247" spans="1:2">
      <c r="A247" s="337">
        <v>863</v>
      </c>
      <c r="B247" s="1144" t="s">
        <v>1496</v>
      </c>
    </row>
    <row r="248" spans="1:2">
      <c r="A248" s="337">
        <v>864</v>
      </c>
      <c r="B248" s="1144" t="s">
        <v>1497</v>
      </c>
    </row>
    <row r="249" spans="1:2">
      <c r="A249" s="337">
        <v>865</v>
      </c>
      <c r="B249" s="1144" t="s">
        <v>1498</v>
      </c>
    </row>
    <row r="250" spans="1:2">
      <c r="A250" s="337">
        <v>866</v>
      </c>
      <c r="B250" s="1144" t="s">
        <v>1499</v>
      </c>
    </row>
    <row r="251" spans="1:2">
      <c r="A251" s="337">
        <v>867</v>
      </c>
      <c r="B251" s="1144" t="s">
        <v>1500</v>
      </c>
    </row>
    <row r="252" spans="1:2">
      <c r="A252" s="337">
        <v>868</v>
      </c>
      <c r="B252" s="1144" t="s">
        <v>1501</v>
      </c>
    </row>
    <row r="253" spans="1:2">
      <c r="A253" s="337">
        <v>869</v>
      </c>
      <c r="B253" s="1144" t="s">
        <v>1502</v>
      </c>
    </row>
    <row r="254" spans="1:2">
      <c r="A254" s="337">
        <v>870</v>
      </c>
      <c r="B254" s="1144" t="s">
        <v>1503</v>
      </c>
    </row>
    <row r="255" spans="1:2">
      <c r="A255" s="337">
        <v>871</v>
      </c>
      <c r="B255" s="1144" t="s">
        <v>1504</v>
      </c>
    </row>
    <row r="256" spans="1:2">
      <c r="A256" s="337">
        <v>872</v>
      </c>
      <c r="B256" s="1144" t="s">
        <v>1505</v>
      </c>
    </row>
    <row r="257" spans="1:2">
      <c r="A257" s="337">
        <v>873</v>
      </c>
      <c r="B257" s="1144" t="s">
        <v>1506</v>
      </c>
    </row>
    <row r="258" spans="1:2">
      <c r="A258" s="337">
        <v>874</v>
      </c>
      <c r="B258" s="1144" t="s">
        <v>1507</v>
      </c>
    </row>
    <row r="259" spans="1:2">
      <c r="A259" s="337">
        <v>875</v>
      </c>
      <c r="B259" s="1144" t="s">
        <v>1508</v>
      </c>
    </row>
    <row r="260" spans="1:2">
      <c r="A260" s="337">
        <v>876</v>
      </c>
      <c r="B260" s="1144" t="s">
        <v>1509</v>
      </c>
    </row>
    <row r="261" spans="1:2">
      <c r="A261" s="337">
        <v>877</v>
      </c>
      <c r="B261" s="100" t="s">
        <v>1510</v>
      </c>
    </row>
    <row r="262" spans="1:2">
      <c r="A262" s="337">
        <v>878</v>
      </c>
      <c r="B262" s="1144" t="s">
        <v>1511</v>
      </c>
    </row>
    <row r="263" spans="1:2">
      <c r="A263" s="337">
        <v>879</v>
      </c>
      <c r="B263" s="1144" t="s">
        <v>1512</v>
      </c>
    </row>
    <row r="264" spans="1:2">
      <c r="A264" s="337">
        <v>880</v>
      </c>
      <c r="B264" s="1144" t="s">
        <v>1513</v>
      </c>
    </row>
    <row r="265" spans="1:2">
      <c r="A265" s="337">
        <v>881</v>
      </c>
      <c r="B265" s="1144" t="s">
        <v>1514</v>
      </c>
    </row>
    <row r="266" spans="1:2">
      <c r="A266" s="337">
        <v>882</v>
      </c>
      <c r="B266" s="1144" t="s">
        <v>1515</v>
      </c>
    </row>
    <row r="267" spans="1:2">
      <c r="A267" s="337">
        <v>883</v>
      </c>
      <c r="B267" s="1145" t="s">
        <v>19</v>
      </c>
    </row>
    <row r="268" spans="1:2">
      <c r="A268" s="337">
        <v>884</v>
      </c>
      <c r="B268" s="1144" t="s">
        <v>1268</v>
      </c>
    </row>
    <row r="269" spans="1:2">
      <c r="A269" s="337">
        <v>885</v>
      </c>
      <c r="B269" s="1144" t="s">
        <v>1516</v>
      </c>
    </row>
    <row r="270" spans="1:2">
      <c r="A270" s="337">
        <v>886</v>
      </c>
      <c r="B270" s="1144" t="s">
        <v>1517</v>
      </c>
    </row>
    <row r="271" spans="1:2">
      <c r="A271" s="337">
        <v>887</v>
      </c>
      <c r="B271" s="1145" t="s">
        <v>336</v>
      </c>
    </row>
    <row r="272" spans="1:2">
      <c r="A272" s="337">
        <v>888</v>
      </c>
      <c r="B272" s="1144" t="s">
        <v>1518</v>
      </c>
    </row>
    <row r="273" spans="1:2">
      <c r="A273" s="337">
        <v>889</v>
      </c>
      <c r="B273" s="1144" t="s">
        <v>1519</v>
      </c>
    </row>
    <row r="274" spans="1:2">
      <c r="A274" s="337">
        <v>890</v>
      </c>
      <c r="B274" s="1145" t="s">
        <v>134</v>
      </c>
    </row>
    <row r="275" spans="1:2">
      <c r="A275" s="337">
        <v>891</v>
      </c>
      <c r="B275" s="1145" t="s">
        <v>270</v>
      </c>
    </row>
    <row r="276" spans="1:2">
      <c r="A276" s="337">
        <v>892</v>
      </c>
      <c r="B276" s="1144" t="s">
        <v>1520</v>
      </c>
    </row>
    <row r="277" spans="1:2">
      <c r="A277" s="337">
        <v>893</v>
      </c>
      <c r="B277" s="1144" t="s">
        <v>1521</v>
      </c>
    </row>
    <row r="278" spans="1:2">
      <c r="A278" s="337">
        <v>894</v>
      </c>
      <c r="B278" s="1144" t="s">
        <v>1522</v>
      </c>
    </row>
    <row r="279" spans="1:2">
      <c r="A279" s="337">
        <v>895</v>
      </c>
      <c r="B279" s="1144" t="s">
        <v>1523</v>
      </c>
    </row>
    <row r="280" spans="1:2">
      <c r="A280" s="337">
        <v>896</v>
      </c>
      <c r="B280" s="1144" t="s">
        <v>1524</v>
      </c>
    </row>
    <row r="281" spans="1:2">
      <c r="A281" s="337">
        <v>897</v>
      </c>
      <c r="B281" s="1144" t="s">
        <v>1525</v>
      </c>
    </row>
    <row r="282" spans="1:2">
      <c r="A282" s="337">
        <v>898</v>
      </c>
      <c r="B282" s="1145" t="s">
        <v>241</v>
      </c>
    </row>
    <row r="283" spans="1:2">
      <c r="A283" s="337">
        <v>899</v>
      </c>
      <c r="B283" s="1144" t="s">
        <v>1526</v>
      </c>
    </row>
    <row r="284" spans="1:2">
      <c r="A284" s="337">
        <v>900</v>
      </c>
      <c r="B284" s="1144" t="s">
        <v>1527</v>
      </c>
    </row>
    <row r="285" spans="1:2">
      <c r="A285" s="337">
        <v>901</v>
      </c>
      <c r="B285" s="1145" t="s">
        <v>271</v>
      </c>
    </row>
    <row r="286" spans="1:2">
      <c r="A286" s="337">
        <v>902</v>
      </c>
      <c r="B286" s="1144" t="s">
        <v>1528</v>
      </c>
    </row>
    <row r="287" spans="1:2">
      <c r="A287" s="337">
        <v>903</v>
      </c>
      <c r="B287" s="1144" t="s">
        <v>1529</v>
      </c>
    </row>
    <row r="288" spans="1:2">
      <c r="A288" s="337">
        <v>904</v>
      </c>
      <c r="B288" s="1145" t="s">
        <v>22</v>
      </c>
    </row>
    <row r="289" spans="1:2">
      <c r="A289" s="337">
        <v>909</v>
      </c>
      <c r="B289" s="1143" t="s">
        <v>78</v>
      </c>
    </row>
    <row r="290" spans="1:2">
      <c r="A290" s="337">
        <v>910</v>
      </c>
      <c r="B290" s="1144" t="s">
        <v>1530</v>
      </c>
    </row>
    <row r="291" spans="1:2">
      <c r="A291" s="337">
        <v>911</v>
      </c>
      <c r="B291" s="1144" t="s">
        <v>1531</v>
      </c>
    </row>
    <row r="292" spans="1:2">
      <c r="A292" s="337">
        <v>912</v>
      </c>
      <c r="B292" s="1144" t="s">
        <v>1532</v>
      </c>
    </row>
    <row r="293" spans="1:2">
      <c r="A293" s="337">
        <v>913</v>
      </c>
      <c r="B293" s="1144" t="s">
        <v>1533</v>
      </c>
    </row>
    <row r="294" spans="1:2">
      <c r="A294" s="337">
        <v>914</v>
      </c>
      <c r="B294" s="1144" t="s">
        <v>1534</v>
      </c>
    </row>
    <row r="295" spans="1:2">
      <c r="A295" s="337">
        <v>915</v>
      </c>
      <c r="B295" s="1144" t="s">
        <v>1535</v>
      </c>
    </row>
    <row r="296" spans="1:2">
      <c r="A296" s="337">
        <v>916</v>
      </c>
      <c r="B296" s="1144" t="s">
        <v>1536</v>
      </c>
    </row>
    <row r="297" spans="1:2">
      <c r="A297" s="337">
        <v>918</v>
      </c>
      <c r="B297" s="1144" t="s">
        <v>1537</v>
      </c>
    </row>
    <row r="298" spans="1:2">
      <c r="A298" s="337">
        <v>919</v>
      </c>
      <c r="B298" s="1144" t="s">
        <v>1538</v>
      </c>
    </row>
    <row r="299" spans="1:2">
      <c r="A299" s="337">
        <v>920</v>
      </c>
      <c r="B299" s="100" t="s">
        <v>1539</v>
      </c>
    </row>
    <row r="300" spans="1:2">
      <c r="A300" s="337">
        <v>921</v>
      </c>
      <c r="B300" s="1145" t="s">
        <v>242</v>
      </c>
    </row>
    <row r="301" spans="1:2">
      <c r="A301" s="337">
        <v>922</v>
      </c>
      <c r="B301" s="1145" t="s">
        <v>272</v>
      </c>
    </row>
    <row r="302" spans="1:2">
      <c r="A302" s="337">
        <v>923</v>
      </c>
      <c r="B302" s="1145" t="s">
        <v>42</v>
      </c>
    </row>
    <row r="303" spans="1:2">
      <c r="A303" s="337">
        <v>924</v>
      </c>
      <c r="B303" s="1145" t="s">
        <v>269</v>
      </c>
    </row>
    <row r="304" spans="1:2">
      <c r="A304" s="337">
        <v>925</v>
      </c>
      <c r="B304" s="1145" t="s">
        <v>263</v>
      </c>
    </row>
    <row r="305" spans="1:2">
      <c r="A305" s="337">
        <v>926</v>
      </c>
      <c r="B305" s="1145" t="s">
        <v>264</v>
      </c>
    </row>
    <row r="306" spans="1:2">
      <c r="A306" s="337">
        <v>927</v>
      </c>
      <c r="B306" s="1144" t="s">
        <v>266</v>
      </c>
    </row>
    <row r="307" spans="1:2">
      <c r="A307" s="337">
        <v>928</v>
      </c>
      <c r="B307" s="1145" t="s">
        <v>267</v>
      </c>
    </row>
    <row r="308" spans="1:2">
      <c r="A308" s="337">
        <v>929</v>
      </c>
      <c r="B308" s="1145" t="s">
        <v>268</v>
      </c>
    </row>
    <row r="309" spans="1:2">
      <c r="A309" s="337">
        <v>930</v>
      </c>
      <c r="B309" s="338" t="s">
        <v>257</v>
      </c>
    </row>
    <row r="310" spans="1:2">
      <c r="A310" s="337">
        <v>931</v>
      </c>
      <c r="B310" s="338" t="s">
        <v>347</v>
      </c>
    </row>
    <row r="311" spans="1:2" ht="25.5">
      <c r="A311" s="337">
        <v>932</v>
      </c>
      <c r="B311" s="1140" t="s">
        <v>1540</v>
      </c>
    </row>
    <row r="312" spans="1:2">
      <c r="A312" s="337">
        <v>933</v>
      </c>
      <c r="B312" s="1140" t="s">
        <v>1541</v>
      </c>
    </row>
    <row r="313" spans="1:2" ht="25.5">
      <c r="A313" s="337">
        <v>934</v>
      </c>
      <c r="B313" s="1140" t="s">
        <v>1542</v>
      </c>
    </row>
    <row r="314" spans="1:2" ht="38.25">
      <c r="A314" s="337">
        <v>935</v>
      </c>
      <c r="B314" s="1140" t="s">
        <v>1543</v>
      </c>
    </row>
    <row r="315" spans="1:2" ht="25.5">
      <c r="A315" s="337">
        <v>936</v>
      </c>
      <c r="B315" s="1140" t="s">
        <v>1544</v>
      </c>
    </row>
    <row r="316" spans="1:2" ht="25.5">
      <c r="A316" s="337">
        <v>937</v>
      </c>
      <c r="B316" s="1140" t="s">
        <v>1545</v>
      </c>
    </row>
    <row r="317" spans="1:2" ht="25.5">
      <c r="A317" s="337">
        <v>938</v>
      </c>
      <c r="B317" s="1140" t="s">
        <v>1546</v>
      </c>
    </row>
    <row r="318" spans="1:2" ht="25.5">
      <c r="A318" s="337">
        <v>939</v>
      </c>
      <c r="B318" s="1140" t="s">
        <v>1547</v>
      </c>
    </row>
    <row r="319" spans="1:2">
      <c r="A319" s="337">
        <v>940</v>
      </c>
      <c r="B319" s="1140" t="s">
        <v>1548</v>
      </c>
    </row>
    <row r="320" spans="1:2" ht="25.5">
      <c r="A320" s="337">
        <v>941</v>
      </c>
      <c r="B320" s="1140" t="s">
        <v>1549</v>
      </c>
    </row>
    <row r="321" spans="1:2">
      <c r="A321" s="337">
        <v>942</v>
      </c>
      <c r="B321" s="1140" t="s">
        <v>1550</v>
      </c>
    </row>
    <row r="322" spans="1:2" ht="25.5">
      <c r="A322" s="337">
        <v>943</v>
      </c>
      <c r="B322" s="1140" t="s">
        <v>1551</v>
      </c>
    </row>
    <row r="323" spans="1:2">
      <c r="A323" s="337">
        <v>944</v>
      </c>
      <c r="B323" s="1140" t="s">
        <v>1552</v>
      </c>
    </row>
    <row r="324" spans="1:2">
      <c r="A324" s="337">
        <v>945</v>
      </c>
      <c r="B324" s="1140" t="s">
        <v>1553</v>
      </c>
    </row>
    <row r="325" spans="1:2" ht="25.5">
      <c r="A325" s="337">
        <v>946</v>
      </c>
      <c r="B325" s="1140" t="s">
        <v>1554</v>
      </c>
    </row>
    <row r="326" spans="1:2" ht="25.5">
      <c r="A326" s="337">
        <v>947</v>
      </c>
      <c r="B326" s="1140" t="s">
        <v>1555</v>
      </c>
    </row>
    <row r="327" spans="1:2" ht="25.5">
      <c r="A327" s="337">
        <v>948</v>
      </c>
      <c r="B327" s="1140" t="s">
        <v>1556</v>
      </c>
    </row>
    <row r="328" spans="1:2">
      <c r="A328" s="337">
        <v>949</v>
      </c>
      <c r="B328" s="1140" t="s">
        <v>1557</v>
      </c>
    </row>
    <row r="329" spans="1:2" ht="25.5">
      <c r="A329" s="337">
        <v>950</v>
      </c>
      <c r="B329" s="1140" t="s">
        <v>1558</v>
      </c>
    </row>
    <row r="330" spans="1:2">
      <c r="A330" s="337">
        <v>951</v>
      </c>
      <c r="B330" s="1140" t="s">
        <v>1559</v>
      </c>
    </row>
    <row r="331" spans="1:2">
      <c r="A331" s="337">
        <v>952</v>
      </c>
      <c r="B331" s="1140" t="s">
        <v>1560</v>
      </c>
    </row>
    <row r="332" spans="1:2">
      <c r="A332" s="337">
        <v>953</v>
      </c>
      <c r="B332" s="1146" t="s">
        <v>1423</v>
      </c>
    </row>
    <row r="333" spans="1:2">
      <c r="A333" s="337">
        <v>954</v>
      </c>
      <c r="B333" s="1146" t="s">
        <v>1561</v>
      </c>
    </row>
    <row r="334" spans="1:2">
      <c r="A334" s="337">
        <v>955</v>
      </c>
      <c r="B334" s="1146" t="s">
        <v>1562</v>
      </c>
    </row>
    <row r="335" spans="1:2">
      <c r="A335" s="337">
        <v>956</v>
      </c>
      <c r="B335" s="1146" t="s">
        <v>1563</v>
      </c>
    </row>
    <row r="336" spans="1:2">
      <c r="A336" s="337">
        <v>957</v>
      </c>
      <c r="B336" s="1146" t="s">
        <v>1564</v>
      </c>
    </row>
    <row r="337" spans="1:2">
      <c r="A337" s="337">
        <v>958</v>
      </c>
      <c r="B337" s="1146" t="s">
        <v>1565</v>
      </c>
    </row>
    <row r="338" spans="1:2">
      <c r="A338" s="337">
        <v>959</v>
      </c>
      <c r="B338" s="1146" t="s">
        <v>1566</v>
      </c>
    </row>
    <row r="339" spans="1:2">
      <c r="A339" s="337">
        <v>960</v>
      </c>
      <c r="B339" s="1146" t="s">
        <v>1567</v>
      </c>
    </row>
    <row r="340" spans="1:2">
      <c r="A340" s="337">
        <v>961</v>
      </c>
      <c r="B340" s="104" t="s">
        <v>1568</v>
      </c>
    </row>
    <row r="341" spans="1:2">
      <c r="A341" s="337">
        <v>962</v>
      </c>
      <c r="B341" s="100" t="s">
        <v>1569</v>
      </c>
    </row>
    <row r="342" spans="1:2">
      <c r="A342" s="337">
        <v>963</v>
      </c>
      <c r="B342" s="100" t="s">
        <v>1570</v>
      </c>
    </row>
    <row r="343" spans="1:2">
      <c r="A343" s="337">
        <v>964</v>
      </c>
      <c r="B343" s="100" t="s">
        <v>1571</v>
      </c>
    </row>
    <row r="344" spans="1:2">
      <c r="A344" s="337">
        <v>965</v>
      </c>
      <c r="B344" s="1147" t="s">
        <v>244</v>
      </c>
    </row>
    <row r="345" spans="1:2">
      <c r="A345" s="337">
        <v>966</v>
      </c>
      <c r="B345" s="1147" t="s">
        <v>245</v>
      </c>
    </row>
    <row r="346" spans="1:2">
      <c r="A346" s="337">
        <v>967</v>
      </c>
      <c r="B346" s="1147" t="s">
        <v>246</v>
      </c>
    </row>
    <row r="347" spans="1:2">
      <c r="A347" s="337">
        <v>968</v>
      </c>
      <c r="B347" s="1147" t="s">
        <v>247</v>
      </c>
    </row>
    <row r="348" spans="1:2">
      <c r="A348" s="337">
        <v>969</v>
      </c>
      <c r="B348" s="100" t="s">
        <v>1572</v>
      </c>
    </row>
    <row r="349" spans="1:2">
      <c r="A349" s="337">
        <v>970</v>
      </c>
      <c r="B349" s="100" t="s">
        <v>1573</v>
      </c>
    </row>
    <row r="350" spans="1:2">
      <c r="A350" s="337">
        <v>971</v>
      </c>
      <c r="B350" s="100" t="s">
        <v>1574</v>
      </c>
    </row>
    <row r="351" spans="1:2">
      <c r="A351" s="337">
        <v>972</v>
      </c>
      <c r="B351" s="100" t="s">
        <v>1575</v>
      </c>
    </row>
    <row r="352" spans="1:2">
      <c r="A352" s="337">
        <v>973</v>
      </c>
      <c r="B352" s="100" t="s">
        <v>1576</v>
      </c>
    </row>
    <row r="353" spans="1:2">
      <c r="A353" s="337">
        <v>974</v>
      </c>
      <c r="B353" s="100" t="s">
        <v>1577</v>
      </c>
    </row>
    <row r="354" spans="1:2">
      <c r="A354" s="337">
        <v>975</v>
      </c>
      <c r="B354" s="100" t="s">
        <v>1578</v>
      </c>
    </row>
    <row r="355" spans="1:2">
      <c r="A355" s="337">
        <v>976</v>
      </c>
      <c r="B355" s="1147" t="s">
        <v>248</v>
      </c>
    </row>
    <row r="356" spans="1:2">
      <c r="A356" s="337">
        <v>977</v>
      </c>
      <c r="B356" s="1147" t="s">
        <v>249</v>
      </c>
    </row>
    <row r="357" spans="1:2">
      <c r="A357" s="337">
        <v>978</v>
      </c>
      <c r="B357" s="100" t="s">
        <v>1579</v>
      </c>
    </row>
    <row r="358" spans="1:2">
      <c r="A358" s="337">
        <v>979</v>
      </c>
      <c r="B358" s="100" t="s">
        <v>1580</v>
      </c>
    </row>
    <row r="359" spans="1:2">
      <c r="A359" s="337">
        <v>980</v>
      </c>
      <c r="B359" s="100" t="s">
        <v>1581</v>
      </c>
    </row>
    <row r="360" spans="1:2">
      <c r="A360" s="337">
        <v>981</v>
      </c>
      <c r="B360" s="100" t="s">
        <v>1582</v>
      </c>
    </row>
    <row r="361" spans="1:2">
      <c r="A361" s="337">
        <v>982</v>
      </c>
      <c r="B361" s="100" t="s">
        <v>1583</v>
      </c>
    </row>
    <row r="362" spans="1:2">
      <c r="A362" s="337">
        <v>983</v>
      </c>
      <c r="B362" s="100" t="s">
        <v>1584</v>
      </c>
    </row>
    <row r="363" spans="1:2">
      <c r="A363" s="337">
        <v>984</v>
      </c>
      <c r="B363" s="100" t="s">
        <v>1585</v>
      </c>
    </row>
    <row r="364" spans="1:2">
      <c r="A364" s="337">
        <v>985</v>
      </c>
      <c r="B364" s="100" t="s">
        <v>1586</v>
      </c>
    </row>
    <row r="365" spans="1:2">
      <c r="A365" s="337">
        <v>990</v>
      </c>
      <c r="B365" s="100" t="s">
        <v>1587</v>
      </c>
    </row>
    <row r="366" spans="1:2">
      <c r="A366" s="337">
        <v>991</v>
      </c>
      <c r="B366" s="100" t="s">
        <v>1588</v>
      </c>
    </row>
    <row r="367" spans="1:2">
      <c r="A367" s="337">
        <v>992</v>
      </c>
      <c r="B367" s="100" t="s">
        <v>1589</v>
      </c>
    </row>
    <row r="368" spans="1:2">
      <c r="A368" s="337">
        <v>993</v>
      </c>
      <c r="B368" s="100" t="s">
        <v>1590</v>
      </c>
    </row>
    <row r="369" spans="1:2">
      <c r="A369" s="337">
        <v>994</v>
      </c>
      <c r="B369" s="100" t="s">
        <v>1591</v>
      </c>
    </row>
    <row r="370" spans="1:2">
      <c r="A370" s="337">
        <v>995</v>
      </c>
      <c r="B370" s="100" t="s">
        <v>1592</v>
      </c>
    </row>
    <row r="371" spans="1:2">
      <c r="A371" s="337">
        <v>996</v>
      </c>
      <c r="B371" s="100" t="s">
        <v>1593</v>
      </c>
    </row>
    <row r="372" spans="1:2">
      <c r="A372" s="337">
        <v>997</v>
      </c>
      <c r="B372" s="100" t="s">
        <v>1594</v>
      </c>
    </row>
    <row r="373" spans="1:2">
      <c r="A373" s="337">
        <v>998</v>
      </c>
      <c r="B373" s="100" t="s">
        <v>1595</v>
      </c>
    </row>
    <row r="374" spans="1:2">
      <c r="A374" s="337">
        <v>999</v>
      </c>
      <c r="B374" s="100" t="s">
        <v>1596</v>
      </c>
    </row>
    <row r="375" spans="1:2">
      <c r="A375" s="337">
        <v>1000</v>
      </c>
      <c r="B375" s="100" t="s">
        <v>1597</v>
      </c>
    </row>
    <row r="376" spans="1:2">
      <c r="A376" s="337">
        <v>1001</v>
      </c>
      <c r="B376" s="100" t="s">
        <v>1598</v>
      </c>
    </row>
    <row r="377" spans="1:2">
      <c r="A377" s="337">
        <v>1002</v>
      </c>
      <c r="B377" s="100" t="s">
        <v>1599</v>
      </c>
    </row>
    <row r="378" spans="1:2">
      <c r="A378" s="337">
        <v>1003</v>
      </c>
      <c r="B378" s="100" t="s">
        <v>1600</v>
      </c>
    </row>
    <row r="379" spans="1:2">
      <c r="A379" s="337">
        <v>1004</v>
      </c>
      <c r="B379" s="100" t="s">
        <v>1601</v>
      </c>
    </row>
    <row r="380" spans="1:2">
      <c r="A380" s="337">
        <v>1005</v>
      </c>
      <c r="B380" s="100" t="s">
        <v>1602</v>
      </c>
    </row>
    <row r="381" spans="1:2">
      <c r="A381" s="337">
        <v>1006</v>
      </c>
      <c r="B381" s="100" t="s">
        <v>1603</v>
      </c>
    </row>
    <row r="382" spans="1:2">
      <c r="A382" s="337">
        <v>1007</v>
      </c>
      <c r="B382" s="100" t="s">
        <v>1604</v>
      </c>
    </row>
    <row r="383" spans="1:2">
      <c r="A383" s="337">
        <v>1008</v>
      </c>
      <c r="B383" s="100" t="s">
        <v>1605</v>
      </c>
    </row>
    <row r="384" spans="1:2">
      <c r="A384" s="337">
        <v>1009</v>
      </c>
      <c r="B384" s="100" t="s">
        <v>1606</v>
      </c>
    </row>
    <row r="385" spans="1:2">
      <c r="A385" s="337">
        <v>1010</v>
      </c>
      <c r="B385" s="100" t="s">
        <v>1607</v>
      </c>
    </row>
    <row r="386" spans="1:2">
      <c r="A386" s="337">
        <v>1011</v>
      </c>
      <c r="B386" s="100" t="s">
        <v>1608</v>
      </c>
    </row>
    <row r="387" spans="1:2">
      <c r="A387" s="337">
        <v>1012</v>
      </c>
      <c r="B387" s="100" t="s">
        <v>1609</v>
      </c>
    </row>
    <row r="388" spans="1:2">
      <c r="A388" s="337">
        <v>1013</v>
      </c>
      <c r="B388" s="100" t="s">
        <v>1610</v>
      </c>
    </row>
    <row r="389" spans="1:2">
      <c r="A389" s="337">
        <v>1014</v>
      </c>
      <c r="B389" s="1147" t="s">
        <v>250</v>
      </c>
    </row>
    <row r="390" spans="1:2">
      <c r="A390" s="337">
        <v>1015</v>
      </c>
      <c r="B390" s="100" t="s">
        <v>1611</v>
      </c>
    </row>
    <row r="391" spans="1:2">
      <c r="A391" s="337">
        <v>1016</v>
      </c>
      <c r="B391" s="100" t="s">
        <v>1612</v>
      </c>
    </row>
    <row r="392" spans="1:2">
      <c r="A392" s="337">
        <v>1017</v>
      </c>
      <c r="B392" s="100" t="s">
        <v>1613</v>
      </c>
    </row>
    <row r="393" spans="1:2">
      <c r="A393" s="337">
        <v>1018</v>
      </c>
      <c r="B393" s="100" t="s">
        <v>1614</v>
      </c>
    </row>
    <row r="394" spans="1:2">
      <c r="A394" s="337">
        <v>1019</v>
      </c>
      <c r="B394" s="100" t="s">
        <v>1615</v>
      </c>
    </row>
    <row r="395" spans="1:2">
      <c r="A395" s="337">
        <v>1020</v>
      </c>
      <c r="B395" s="100" t="s">
        <v>1616</v>
      </c>
    </row>
    <row r="396" spans="1:2">
      <c r="A396" s="337">
        <v>1021</v>
      </c>
      <c r="B396" s="100" t="s">
        <v>1617</v>
      </c>
    </row>
    <row r="397" spans="1:2">
      <c r="A397" s="337">
        <v>1022</v>
      </c>
      <c r="B397" s="100" t="s">
        <v>1618</v>
      </c>
    </row>
    <row r="398" spans="1:2">
      <c r="A398" s="337">
        <v>1023</v>
      </c>
      <c r="B398" s="100" t="s">
        <v>1619</v>
      </c>
    </row>
    <row r="399" spans="1:2">
      <c r="A399" s="337">
        <v>1024</v>
      </c>
      <c r="B399" s="100" t="s">
        <v>1620</v>
      </c>
    </row>
    <row r="400" spans="1:2">
      <c r="A400" s="337">
        <v>1025</v>
      </c>
      <c r="B400" s="100" t="s">
        <v>1621</v>
      </c>
    </row>
    <row r="401" spans="1:2">
      <c r="A401" s="337">
        <v>1026</v>
      </c>
      <c r="B401" s="100" t="s">
        <v>1622</v>
      </c>
    </row>
    <row r="402" spans="1:2">
      <c r="A402" s="337">
        <v>1027</v>
      </c>
      <c r="B402" s="100" t="s">
        <v>1623</v>
      </c>
    </row>
    <row r="403" spans="1:2">
      <c r="A403" s="337">
        <v>1028</v>
      </c>
      <c r="B403" s="100" t="s">
        <v>1624</v>
      </c>
    </row>
    <row r="404" spans="1:2">
      <c r="A404" s="337">
        <v>1030</v>
      </c>
      <c r="B404" s="100" t="s">
        <v>1625</v>
      </c>
    </row>
    <row r="405" spans="1:2">
      <c r="A405" s="337">
        <v>1031</v>
      </c>
      <c r="B405" s="100" t="s">
        <v>1626</v>
      </c>
    </row>
    <row r="406" spans="1:2">
      <c r="A406" s="337">
        <v>1032</v>
      </c>
      <c r="B406" s="100" t="s">
        <v>1627</v>
      </c>
    </row>
    <row r="407" spans="1:2">
      <c r="A407" s="337">
        <v>1033</v>
      </c>
      <c r="B407" s="100" t="s">
        <v>1628</v>
      </c>
    </row>
    <row r="408" spans="1:2">
      <c r="A408" s="337">
        <v>1034</v>
      </c>
      <c r="B408" s="100" t="s">
        <v>1629</v>
      </c>
    </row>
    <row r="409" spans="1:2">
      <c r="A409" s="337">
        <v>1035</v>
      </c>
      <c r="B409" s="100" t="s">
        <v>1630</v>
      </c>
    </row>
    <row r="410" spans="1:2">
      <c r="A410" s="337">
        <v>1036</v>
      </c>
      <c r="B410" s="100" t="s">
        <v>1631</v>
      </c>
    </row>
    <row r="411" spans="1:2">
      <c r="A411" s="337">
        <v>1037</v>
      </c>
      <c r="B411" s="100" t="s">
        <v>1632</v>
      </c>
    </row>
    <row r="412" spans="1:2">
      <c r="A412" s="337">
        <v>1038</v>
      </c>
      <c r="B412" s="100" t="s">
        <v>1633</v>
      </c>
    </row>
    <row r="413" spans="1:2">
      <c r="A413" s="337">
        <v>1039</v>
      </c>
      <c r="B413" s="100" t="s">
        <v>1634</v>
      </c>
    </row>
    <row r="414" spans="1:2">
      <c r="A414" s="337">
        <v>1040</v>
      </c>
      <c r="B414" s="100" t="s">
        <v>1635</v>
      </c>
    </row>
    <row r="415" spans="1:2">
      <c r="A415" s="337">
        <v>1041</v>
      </c>
      <c r="B415" s="100" t="s">
        <v>1636</v>
      </c>
    </row>
    <row r="416" spans="1:2">
      <c r="A416" s="337">
        <v>1042</v>
      </c>
      <c r="B416" s="100" t="s">
        <v>1637</v>
      </c>
    </row>
    <row r="417" spans="1:2">
      <c r="A417" s="337">
        <v>1043</v>
      </c>
      <c r="B417" s="100" t="s">
        <v>1638</v>
      </c>
    </row>
    <row r="418" spans="1:2">
      <c r="A418" s="337">
        <v>1044</v>
      </c>
      <c r="B418" s="100" t="s">
        <v>1639</v>
      </c>
    </row>
    <row r="419" spans="1:2">
      <c r="A419" s="337">
        <v>1045</v>
      </c>
      <c r="B419" s="100" t="s">
        <v>1640</v>
      </c>
    </row>
    <row r="420" spans="1:2">
      <c r="A420" s="337">
        <v>1046</v>
      </c>
      <c r="B420" s="100" t="s">
        <v>1641</v>
      </c>
    </row>
    <row r="421" spans="1:2">
      <c r="A421" s="337">
        <v>1047</v>
      </c>
      <c r="B421" s="100" t="s">
        <v>1642</v>
      </c>
    </row>
    <row r="422" spans="1:2">
      <c r="A422" s="337">
        <v>1048</v>
      </c>
      <c r="B422" s="100" t="s">
        <v>952</v>
      </c>
    </row>
    <row r="423" spans="1:2">
      <c r="A423" s="337">
        <v>1049</v>
      </c>
      <c r="B423" s="100" t="s">
        <v>1643</v>
      </c>
    </row>
    <row r="424" spans="1:2">
      <c r="A424" s="337">
        <v>1050</v>
      </c>
      <c r="B424" s="100" t="s">
        <v>1644</v>
      </c>
    </row>
    <row r="425" spans="1:2">
      <c r="A425" s="337">
        <v>1051</v>
      </c>
      <c r="B425" s="100" t="s">
        <v>1495</v>
      </c>
    </row>
    <row r="426" spans="1:2">
      <c r="A426" s="337">
        <v>1052</v>
      </c>
      <c r="B426" s="100" t="s">
        <v>1645</v>
      </c>
    </row>
    <row r="427" spans="1:2">
      <c r="A427" s="337">
        <v>1053</v>
      </c>
      <c r="B427" s="100" t="s">
        <v>1646</v>
      </c>
    </row>
    <row r="428" spans="1:2">
      <c r="A428" s="337">
        <v>1054</v>
      </c>
      <c r="B428" s="100" t="s">
        <v>1647</v>
      </c>
    </row>
    <row r="429" spans="1:2">
      <c r="A429" s="337">
        <v>1055</v>
      </c>
      <c r="B429" s="100" t="s">
        <v>1648</v>
      </c>
    </row>
    <row r="430" spans="1:2">
      <c r="A430" s="337">
        <v>1056</v>
      </c>
      <c r="B430" s="100" t="s">
        <v>1649</v>
      </c>
    </row>
    <row r="431" spans="1:2">
      <c r="A431" s="337">
        <v>1057</v>
      </c>
      <c r="B431" s="100" t="s">
        <v>1650</v>
      </c>
    </row>
    <row r="432" spans="1:2">
      <c r="A432" s="337">
        <v>1058</v>
      </c>
      <c r="B432" s="1146" t="s">
        <v>1651</v>
      </c>
    </row>
    <row r="433" spans="1:2">
      <c r="A433" s="337">
        <v>1059</v>
      </c>
      <c r="B433" s="1146" t="s">
        <v>1652</v>
      </c>
    </row>
    <row r="434" spans="1:2" ht="38.25">
      <c r="A434" s="337">
        <v>1061</v>
      </c>
      <c r="B434" s="109" t="s">
        <v>1653</v>
      </c>
    </row>
    <row r="435" spans="1:2" ht="25.5">
      <c r="A435" s="337">
        <v>1062</v>
      </c>
      <c r="B435" s="109" t="s">
        <v>1654</v>
      </c>
    </row>
    <row r="436" spans="1:2" ht="38.25">
      <c r="A436" s="337">
        <v>1063</v>
      </c>
      <c r="B436" s="109" t="s">
        <v>1655</v>
      </c>
    </row>
    <row r="437" spans="1:2" ht="25.5">
      <c r="A437" s="337">
        <v>1064</v>
      </c>
      <c r="B437" s="109" t="s">
        <v>1656</v>
      </c>
    </row>
    <row r="438" spans="1:2">
      <c r="A438" s="337">
        <v>1065</v>
      </c>
      <c r="B438" s="109" t="s">
        <v>1269</v>
      </c>
    </row>
    <row r="439" spans="1:2" ht="25.5">
      <c r="A439" s="337">
        <v>1067</v>
      </c>
      <c r="B439" s="109" t="s">
        <v>1657</v>
      </c>
    </row>
    <row r="440" spans="1:2" ht="51">
      <c r="A440" s="337">
        <v>1068</v>
      </c>
      <c r="B440" s="109" t="s">
        <v>1658</v>
      </c>
    </row>
    <row r="441" spans="1:2">
      <c r="A441" s="337">
        <v>1069</v>
      </c>
      <c r="B441" s="109" t="s">
        <v>1659</v>
      </c>
    </row>
    <row r="442" spans="1:2" ht="38.25">
      <c r="A442" s="337">
        <v>1070</v>
      </c>
      <c r="B442" s="109" t="s">
        <v>1660</v>
      </c>
    </row>
    <row r="443" spans="1:2">
      <c r="A443" s="337">
        <v>1072</v>
      </c>
      <c r="B443" s="109" t="s">
        <v>1661</v>
      </c>
    </row>
    <row r="444" spans="1:2" ht="25.5">
      <c r="A444" s="337">
        <v>1074</v>
      </c>
      <c r="B444" s="109" t="s">
        <v>1662</v>
      </c>
    </row>
    <row r="445" spans="1:2" ht="25.5">
      <c r="A445" s="337">
        <v>1075</v>
      </c>
      <c r="B445" s="109" t="s">
        <v>1663</v>
      </c>
    </row>
    <row r="446" spans="1:2">
      <c r="A446" s="337">
        <v>1077</v>
      </c>
      <c r="B446" s="109" t="s">
        <v>1664</v>
      </c>
    </row>
    <row r="447" spans="1:2">
      <c r="A447" s="337">
        <v>1078</v>
      </c>
      <c r="B447" s="109" t="s">
        <v>1665</v>
      </c>
    </row>
    <row r="448" spans="1:2" ht="51">
      <c r="A448" s="337">
        <v>1079</v>
      </c>
      <c r="B448" s="109" t="s">
        <v>1666</v>
      </c>
    </row>
    <row r="449" spans="1:2">
      <c r="A449" s="337">
        <v>1081</v>
      </c>
      <c r="B449" s="109" t="s">
        <v>1667</v>
      </c>
    </row>
    <row r="450" spans="1:2">
      <c r="A450" s="337">
        <v>1082</v>
      </c>
      <c r="B450" s="109" t="s">
        <v>1668</v>
      </c>
    </row>
    <row r="451" spans="1:2" ht="25.5">
      <c r="A451" s="337">
        <v>1083</v>
      </c>
      <c r="B451" s="109" t="s">
        <v>1669</v>
      </c>
    </row>
    <row r="452" spans="1:2">
      <c r="A452" s="337">
        <v>1084</v>
      </c>
      <c r="B452" s="109" t="s">
        <v>1670</v>
      </c>
    </row>
    <row r="453" spans="1:2" ht="25.5">
      <c r="A453" s="337">
        <v>1085</v>
      </c>
      <c r="B453" s="109" t="s">
        <v>1671</v>
      </c>
    </row>
    <row r="454" spans="1:2" ht="25.5">
      <c r="A454" s="337">
        <v>1086</v>
      </c>
      <c r="B454" s="109" t="s">
        <v>1672</v>
      </c>
    </row>
    <row r="455" spans="1:2" ht="25.5">
      <c r="A455" s="337">
        <v>1087</v>
      </c>
      <c r="B455" s="109" t="s">
        <v>1673</v>
      </c>
    </row>
    <row r="456" spans="1:2">
      <c r="A456" s="337">
        <v>1088</v>
      </c>
      <c r="B456" s="109" t="s">
        <v>1674</v>
      </c>
    </row>
    <row r="457" spans="1:2" ht="25.5">
      <c r="A457" s="337">
        <v>1089</v>
      </c>
      <c r="B457" s="109" t="s">
        <v>1675</v>
      </c>
    </row>
    <row r="458" spans="1:2" ht="25.5">
      <c r="A458" s="337">
        <v>1090</v>
      </c>
      <c r="B458" s="109" t="s">
        <v>1676</v>
      </c>
    </row>
    <row r="459" spans="1:2">
      <c r="A459" s="337">
        <v>1091</v>
      </c>
      <c r="B459" s="109" t="s">
        <v>1677</v>
      </c>
    </row>
    <row r="460" spans="1:2" ht="25.5">
      <c r="A460" s="337">
        <v>1093</v>
      </c>
      <c r="B460" s="109" t="s">
        <v>1678</v>
      </c>
    </row>
    <row r="461" spans="1:2" ht="38.25">
      <c r="A461" s="337">
        <v>1094</v>
      </c>
      <c r="B461" s="109" t="s">
        <v>1679</v>
      </c>
    </row>
    <row r="462" spans="1:2" ht="25.5">
      <c r="A462" s="337">
        <v>1097</v>
      </c>
      <c r="B462" s="109" t="s">
        <v>1680</v>
      </c>
    </row>
    <row r="463" spans="1:2" ht="51">
      <c r="A463" s="337">
        <v>1099</v>
      </c>
      <c r="B463" s="109" t="s">
        <v>1681</v>
      </c>
    </row>
    <row r="464" spans="1:2" ht="25.5">
      <c r="A464" s="337">
        <v>1101</v>
      </c>
      <c r="B464" s="109" t="s">
        <v>1682</v>
      </c>
    </row>
    <row r="465" spans="1:2" ht="51">
      <c r="A465" s="337">
        <v>1102</v>
      </c>
      <c r="B465" s="109" t="s">
        <v>1683</v>
      </c>
    </row>
    <row r="466" spans="1:2" ht="63.75">
      <c r="A466" s="337">
        <v>1104</v>
      </c>
      <c r="B466" s="109" t="s">
        <v>1684</v>
      </c>
    </row>
    <row r="467" spans="1:2" ht="38.25">
      <c r="A467" s="337">
        <v>1106</v>
      </c>
      <c r="B467" s="109" t="s">
        <v>1685</v>
      </c>
    </row>
    <row r="468" spans="1:2">
      <c r="A468" s="337">
        <v>1107</v>
      </c>
      <c r="B468" s="1146" t="s">
        <v>1686</v>
      </c>
    </row>
    <row r="469" spans="1:2" ht="25.5">
      <c r="A469" s="337">
        <v>1109</v>
      </c>
      <c r="B469" s="109" t="s">
        <v>1687</v>
      </c>
    </row>
    <row r="470" spans="1:2" ht="38.25">
      <c r="A470" s="337">
        <v>1110</v>
      </c>
      <c r="B470" s="100" t="s">
        <v>1688</v>
      </c>
    </row>
    <row r="471" spans="1:2">
      <c r="A471" s="337">
        <v>1111</v>
      </c>
      <c r="B471" s="109" t="s">
        <v>1689</v>
      </c>
    </row>
    <row r="472" spans="1:2">
      <c r="A472" s="337">
        <v>1112</v>
      </c>
      <c r="B472" s="1146" t="s">
        <v>1413</v>
      </c>
    </row>
    <row r="473" spans="1:2" ht="51">
      <c r="A473" s="337">
        <v>1113</v>
      </c>
      <c r="B473" s="109" t="s">
        <v>1690</v>
      </c>
    </row>
    <row r="474" spans="1:2" ht="25.5">
      <c r="A474" s="337">
        <v>1114</v>
      </c>
      <c r="B474" s="109" t="s">
        <v>1691</v>
      </c>
    </row>
    <row r="475" spans="1:2" ht="76.5">
      <c r="A475" s="337">
        <v>1115</v>
      </c>
      <c r="B475" s="100" t="s">
        <v>1692</v>
      </c>
    </row>
    <row r="476" spans="1:2">
      <c r="A476" s="337">
        <v>1116</v>
      </c>
      <c r="B476" s="109" t="s">
        <v>1693</v>
      </c>
    </row>
    <row r="477" spans="1:2">
      <c r="A477" s="337">
        <v>1117</v>
      </c>
      <c r="B477" s="1146" t="s">
        <v>1398</v>
      </c>
    </row>
    <row r="478" spans="1:2" ht="25.5">
      <c r="A478" s="337">
        <v>1118</v>
      </c>
      <c r="B478" s="109" t="s">
        <v>1694</v>
      </c>
    </row>
    <row r="479" spans="1:2">
      <c r="A479" s="337">
        <v>1119</v>
      </c>
      <c r="B479" s="109" t="s">
        <v>1695</v>
      </c>
    </row>
    <row r="480" spans="1:2">
      <c r="A480" s="337">
        <v>1120</v>
      </c>
      <c r="B480" s="109" t="s">
        <v>1696</v>
      </c>
    </row>
    <row r="481" spans="1:3" ht="25.5">
      <c r="A481" s="337">
        <v>1121</v>
      </c>
      <c r="B481" s="109" t="s">
        <v>1697</v>
      </c>
    </row>
    <row r="482" spans="1:3" ht="51">
      <c r="A482" s="337">
        <v>1122</v>
      </c>
      <c r="B482" s="109" t="s">
        <v>1698</v>
      </c>
    </row>
    <row r="483" spans="1:3">
      <c r="A483" s="337">
        <v>1124</v>
      </c>
      <c r="B483" s="109" t="s">
        <v>1699</v>
      </c>
    </row>
    <row r="484" spans="1:3">
      <c r="A484" s="337">
        <v>1127</v>
      </c>
      <c r="B484" s="109" t="s">
        <v>1700</v>
      </c>
    </row>
    <row r="485" spans="1:3" ht="51">
      <c r="A485" s="337">
        <v>1128</v>
      </c>
      <c r="B485" s="109" t="s">
        <v>1701</v>
      </c>
    </row>
    <row r="486" spans="1:3" ht="51">
      <c r="A486" s="337">
        <v>1129</v>
      </c>
      <c r="B486" s="109" t="s">
        <v>1702</v>
      </c>
    </row>
    <row r="487" spans="1:3">
      <c r="A487" s="337">
        <v>1130</v>
      </c>
      <c r="B487" s="1146" t="s">
        <v>1703</v>
      </c>
    </row>
    <row r="488" spans="1:3">
      <c r="A488" s="337">
        <v>1131</v>
      </c>
      <c r="B488" s="1147" t="s">
        <v>297</v>
      </c>
    </row>
    <row r="489" spans="1:3">
      <c r="A489" s="337">
        <v>1132</v>
      </c>
      <c r="B489" s="1148" t="s">
        <v>1561</v>
      </c>
    </row>
    <row r="490" spans="1:3" ht="26.25">
      <c r="A490" s="337">
        <v>2000</v>
      </c>
      <c r="B490" s="1200" t="s">
        <v>1784</v>
      </c>
      <c r="C490" s="1201"/>
    </row>
    <row r="491" spans="1:3">
      <c r="A491" s="337">
        <v>2001</v>
      </c>
      <c r="B491" t="s">
        <v>619</v>
      </c>
      <c r="C491" s="1201"/>
    </row>
    <row r="492" spans="1:3">
      <c r="A492" s="337">
        <v>2002</v>
      </c>
      <c r="B492" t="s">
        <v>620</v>
      </c>
      <c r="C492" s="1201"/>
    </row>
    <row r="493" spans="1:3">
      <c r="A493" s="337">
        <v>2003</v>
      </c>
      <c r="B493" t="s">
        <v>621</v>
      </c>
      <c r="C493" s="1201"/>
    </row>
    <row r="494" spans="1:3">
      <c r="A494" s="337">
        <v>2004</v>
      </c>
      <c r="B494" t="s">
        <v>622</v>
      </c>
      <c r="C494" s="1201"/>
    </row>
    <row r="495" spans="1:3">
      <c r="A495" s="337">
        <v>2005</v>
      </c>
      <c r="B495" t="s">
        <v>623</v>
      </c>
      <c r="C495" s="1201"/>
    </row>
    <row r="496" spans="1:3">
      <c r="A496" s="337">
        <v>2006</v>
      </c>
      <c r="B496" t="s">
        <v>624</v>
      </c>
      <c r="C496" s="1201"/>
    </row>
    <row r="497" spans="1:3">
      <c r="A497" s="337">
        <v>2007</v>
      </c>
      <c r="B497" t="s">
        <v>625</v>
      </c>
      <c r="C497" s="1201"/>
    </row>
    <row r="498" spans="1:3">
      <c r="A498" s="337">
        <v>2008</v>
      </c>
      <c r="B498" t="s">
        <v>626</v>
      </c>
      <c r="C498" s="1201"/>
    </row>
    <row r="499" spans="1:3">
      <c r="A499" s="337">
        <v>2009</v>
      </c>
      <c r="B499" t="s">
        <v>627</v>
      </c>
      <c r="C499" s="1201"/>
    </row>
    <row r="500" spans="1:3">
      <c r="A500" s="337">
        <v>2010</v>
      </c>
      <c r="B500" t="s">
        <v>628</v>
      </c>
      <c r="C500" s="1201"/>
    </row>
    <row r="501" spans="1:3">
      <c r="A501" s="337">
        <v>2011</v>
      </c>
      <c r="B501" t="s">
        <v>629</v>
      </c>
      <c r="C501" s="1201"/>
    </row>
    <row r="502" spans="1:3">
      <c r="A502" s="337">
        <v>2012</v>
      </c>
      <c r="B502" t="s">
        <v>630</v>
      </c>
      <c r="C502" s="1201"/>
    </row>
    <row r="503" spans="1:3">
      <c r="A503" s="337">
        <v>2013</v>
      </c>
      <c r="B503" t="s">
        <v>631</v>
      </c>
      <c r="C503" s="1201"/>
    </row>
    <row r="504" spans="1:3">
      <c r="A504" s="337">
        <v>2014</v>
      </c>
      <c r="B504" t="s">
        <v>632</v>
      </c>
      <c r="C504" s="1201"/>
    </row>
    <row r="505" spans="1:3">
      <c r="A505" s="337">
        <v>2015</v>
      </c>
      <c r="B505" t="s">
        <v>633</v>
      </c>
      <c r="C505" s="1201"/>
    </row>
    <row r="506" spans="1:3">
      <c r="A506" s="337">
        <v>2016</v>
      </c>
      <c r="B506" t="s">
        <v>634</v>
      </c>
      <c r="C506" s="1201"/>
    </row>
    <row r="507" spans="1:3">
      <c r="A507" s="337">
        <v>2017</v>
      </c>
      <c r="B507" t="s">
        <v>635</v>
      </c>
      <c r="C507" s="1201"/>
    </row>
    <row r="508" spans="1:3">
      <c r="A508" s="337">
        <v>2018</v>
      </c>
      <c r="B508" s="1202" t="s">
        <v>636</v>
      </c>
      <c r="C508" s="1201"/>
    </row>
    <row r="509" spans="1:3" ht="25.5">
      <c r="A509" s="337">
        <v>2019</v>
      </c>
      <c r="B509" s="1182" t="s">
        <v>637</v>
      </c>
      <c r="C509" s="1201"/>
    </row>
    <row r="510" spans="1:3" ht="51">
      <c r="A510" s="337">
        <v>2020</v>
      </c>
      <c r="B510" s="314" t="s">
        <v>638</v>
      </c>
      <c r="C510" s="1201"/>
    </row>
    <row r="511" spans="1:3">
      <c r="A511" s="337">
        <v>2021</v>
      </c>
      <c r="B511" s="314" t="s">
        <v>639</v>
      </c>
      <c r="C511" s="1201"/>
    </row>
    <row r="512" spans="1:3" ht="25.5">
      <c r="A512" s="337">
        <v>2022</v>
      </c>
      <c r="B512" s="1183" t="s">
        <v>640</v>
      </c>
      <c r="C512" s="1201"/>
    </row>
    <row r="513" spans="1:3">
      <c r="A513" s="337">
        <v>2023</v>
      </c>
      <c r="B513" s="314" t="s">
        <v>641</v>
      </c>
      <c r="C513" s="1201"/>
    </row>
    <row r="514" spans="1:3" ht="38.25">
      <c r="A514" s="337">
        <v>2024</v>
      </c>
      <c r="B514" s="314" t="s">
        <v>642</v>
      </c>
      <c r="C514" s="1201"/>
    </row>
    <row r="515" spans="1:3" ht="25.5">
      <c r="A515" s="337">
        <v>2025</v>
      </c>
      <c r="B515" s="287" t="s">
        <v>643</v>
      </c>
      <c r="C515" s="1201"/>
    </row>
    <row r="516" spans="1:3">
      <c r="A516" s="337">
        <v>2026</v>
      </c>
      <c r="B516" s="314" t="s">
        <v>644</v>
      </c>
      <c r="C516" s="1201"/>
    </row>
    <row r="517" spans="1:3">
      <c r="A517" s="337">
        <v>2027</v>
      </c>
      <c r="B517" s="287" t="s">
        <v>645</v>
      </c>
      <c r="C517" s="1201"/>
    </row>
    <row r="518" spans="1:3">
      <c r="A518" s="337">
        <v>2028</v>
      </c>
      <c r="B518" s="287" t="s">
        <v>646</v>
      </c>
      <c r="C518" s="1201"/>
    </row>
    <row r="519" spans="1:3" ht="25.5">
      <c r="A519" s="337">
        <v>2029</v>
      </c>
      <c r="B519" s="287" t="s">
        <v>647</v>
      </c>
      <c r="C519" s="1201"/>
    </row>
    <row r="520" spans="1:3" ht="36">
      <c r="A520" s="337">
        <v>2030</v>
      </c>
      <c r="B520" s="1184" t="s">
        <v>1783</v>
      </c>
      <c r="C520" s="1201"/>
    </row>
    <row r="521" spans="1:3">
      <c r="A521" s="337">
        <v>2031</v>
      </c>
      <c r="B521" t="s">
        <v>578</v>
      </c>
      <c r="C521" s="1201"/>
    </row>
    <row r="522" spans="1:3">
      <c r="A522" s="337">
        <v>2032</v>
      </c>
      <c r="B522" s="314" t="s">
        <v>648</v>
      </c>
      <c r="C522" s="1201"/>
    </row>
    <row r="523" spans="1:3" ht="25.5">
      <c r="A523" s="337">
        <v>2033</v>
      </c>
      <c r="B523" s="314" t="s">
        <v>649</v>
      </c>
      <c r="C523" s="1201"/>
    </row>
    <row r="524" spans="1:3" ht="76.5">
      <c r="A524" s="337">
        <v>2034</v>
      </c>
      <c r="B524" s="287" t="s">
        <v>650</v>
      </c>
      <c r="C524" s="1201"/>
    </row>
    <row r="525" spans="1:3" ht="25.5">
      <c r="A525" s="337">
        <v>2035</v>
      </c>
      <c r="B525" s="314" t="s">
        <v>651</v>
      </c>
      <c r="C525" s="1201"/>
    </row>
    <row r="526" spans="1:3" ht="38.25">
      <c r="A526" s="337">
        <v>2036</v>
      </c>
      <c r="B526" s="319" t="s">
        <v>652</v>
      </c>
      <c r="C526" s="1201"/>
    </row>
    <row r="527" spans="1:3" ht="25.5">
      <c r="A527" s="337">
        <v>2037</v>
      </c>
      <c r="B527" s="320" t="s">
        <v>653</v>
      </c>
      <c r="C527" s="1201"/>
    </row>
    <row r="528" spans="1:3">
      <c r="A528" s="337">
        <v>2038</v>
      </c>
      <c r="B528" s="320" t="s">
        <v>654</v>
      </c>
      <c r="C528" s="1201"/>
    </row>
    <row r="529" spans="1:3">
      <c r="A529" s="337">
        <v>2039</v>
      </c>
      <c r="B529" s="314" t="s">
        <v>655</v>
      </c>
      <c r="C529" s="1201"/>
    </row>
    <row r="530" spans="1:3" ht="38.25">
      <c r="A530" s="337">
        <v>2040</v>
      </c>
      <c r="B530" s="284" t="s">
        <v>656</v>
      </c>
      <c r="C530" s="1201"/>
    </row>
    <row r="531" spans="1:3" ht="39" thickBot="1">
      <c r="A531" s="337">
        <v>2041</v>
      </c>
      <c r="B531" s="1203" t="s">
        <v>657</v>
      </c>
      <c r="C531" s="1201"/>
    </row>
    <row r="532" spans="1:3" ht="25.5">
      <c r="A532" s="337">
        <v>2042</v>
      </c>
      <c r="B532" s="322" t="s">
        <v>1223</v>
      </c>
      <c r="C532" s="1201"/>
    </row>
    <row r="533" spans="1:3">
      <c r="A533" s="337">
        <v>2043</v>
      </c>
      <c r="B533" t="s">
        <v>658</v>
      </c>
      <c r="C533" s="1201"/>
    </row>
    <row r="534" spans="1:3" ht="18">
      <c r="A534" s="337">
        <v>2044</v>
      </c>
      <c r="B534" s="767" t="s">
        <v>659</v>
      </c>
      <c r="C534" s="1201"/>
    </row>
    <row r="535" spans="1:3" ht="31.5">
      <c r="A535" s="337">
        <v>2045</v>
      </c>
      <c r="B535" s="279" t="s">
        <v>660</v>
      </c>
      <c r="C535" s="1201"/>
    </row>
    <row r="536" spans="1:3">
      <c r="A536" s="337">
        <v>2046</v>
      </c>
      <c r="B536" s="279" t="s">
        <v>661</v>
      </c>
      <c r="C536" s="1201"/>
    </row>
    <row r="537" spans="1:3">
      <c r="A537" s="337">
        <v>2047</v>
      </c>
      <c r="B537" s="1191" t="s">
        <v>662</v>
      </c>
      <c r="C537" s="1201"/>
    </row>
    <row r="538" spans="1:3">
      <c r="A538" s="337">
        <v>2048</v>
      </c>
      <c r="B538" s="1185" t="s">
        <v>663</v>
      </c>
      <c r="C538" s="1201"/>
    </row>
    <row r="539" spans="1:3">
      <c r="A539" s="337">
        <v>2049</v>
      </c>
      <c r="B539" s="181" t="s">
        <v>664</v>
      </c>
      <c r="C539" s="1201"/>
    </row>
    <row r="540" spans="1:3" ht="22.5">
      <c r="A540" s="337">
        <v>2050</v>
      </c>
      <c r="B540" s="275" t="s">
        <v>665</v>
      </c>
      <c r="C540" s="1201"/>
    </row>
    <row r="541" spans="1:3">
      <c r="A541" s="337">
        <v>2051</v>
      </c>
      <c r="B541" s="1186" t="s">
        <v>666</v>
      </c>
      <c r="C541" s="1201"/>
    </row>
    <row r="542" spans="1:3">
      <c r="A542" s="337">
        <v>2052</v>
      </c>
      <c r="B542" s="1186" t="s">
        <v>667</v>
      </c>
      <c r="C542" s="1201"/>
    </row>
    <row r="543" spans="1:3">
      <c r="A543" s="337">
        <v>2053</v>
      </c>
      <c r="B543" s="1186" t="s">
        <v>668</v>
      </c>
      <c r="C543" s="1201"/>
    </row>
    <row r="544" spans="1:3">
      <c r="A544" s="337">
        <v>2054</v>
      </c>
      <c r="B544" s="1186" t="s">
        <v>669</v>
      </c>
      <c r="C544" s="1201"/>
    </row>
    <row r="545" spans="1:3">
      <c r="A545" s="337">
        <v>2055</v>
      </c>
      <c r="B545" s="1186" t="s">
        <v>670</v>
      </c>
      <c r="C545" s="1201"/>
    </row>
    <row r="546" spans="1:3">
      <c r="A546" s="337">
        <v>2056</v>
      </c>
      <c r="B546" s="1186" t="s">
        <v>671</v>
      </c>
      <c r="C546" s="1201"/>
    </row>
    <row r="547" spans="1:3">
      <c r="A547" s="337">
        <v>2057</v>
      </c>
      <c r="B547" s="1185" t="s">
        <v>672</v>
      </c>
      <c r="C547" s="1201"/>
    </row>
    <row r="548" spans="1:3" ht="15.75">
      <c r="A548" s="337">
        <v>2058</v>
      </c>
      <c r="B548" s="1187" t="s">
        <v>673</v>
      </c>
      <c r="C548" s="1201"/>
    </row>
    <row r="549" spans="1:3">
      <c r="A549" s="337">
        <v>2059</v>
      </c>
      <c r="B549" s="1185" t="s">
        <v>674</v>
      </c>
      <c r="C549" s="1201"/>
    </row>
    <row r="550" spans="1:3">
      <c r="A550" s="337">
        <v>2060</v>
      </c>
      <c r="B550" s="1185" t="s">
        <v>675</v>
      </c>
      <c r="C550" s="1201"/>
    </row>
    <row r="551" spans="1:3">
      <c r="A551" s="337">
        <v>2061</v>
      </c>
      <c r="B551" s="1204" t="s">
        <v>676</v>
      </c>
      <c r="C551" s="1201"/>
    </row>
    <row r="552" spans="1:3">
      <c r="A552" s="337">
        <v>2062</v>
      </c>
      <c r="B552" s="1185" t="s">
        <v>677</v>
      </c>
      <c r="C552" s="1201"/>
    </row>
    <row r="553" spans="1:3">
      <c r="A553" s="337">
        <v>2063</v>
      </c>
      <c r="B553" s="1185" t="s">
        <v>678</v>
      </c>
      <c r="C553" s="1201"/>
    </row>
    <row r="554" spans="1:3">
      <c r="A554" s="337">
        <v>2064</v>
      </c>
      <c r="B554" s="1186" t="s">
        <v>679</v>
      </c>
      <c r="C554" s="1201"/>
    </row>
    <row r="555" spans="1:3">
      <c r="A555" s="337">
        <v>2065</v>
      </c>
      <c r="B555" s="1185" t="s">
        <v>680</v>
      </c>
      <c r="C555" s="1201"/>
    </row>
    <row r="556" spans="1:3">
      <c r="A556" s="337">
        <v>2066</v>
      </c>
      <c r="B556" s="1185" t="s">
        <v>681</v>
      </c>
      <c r="C556" s="1201"/>
    </row>
    <row r="557" spans="1:3">
      <c r="A557" s="337">
        <v>2067</v>
      </c>
      <c r="B557" s="1185" t="s">
        <v>682</v>
      </c>
      <c r="C557" s="1201"/>
    </row>
    <row r="558" spans="1:3">
      <c r="A558" s="337">
        <v>2068</v>
      </c>
      <c r="B558" s="1185" t="s">
        <v>683</v>
      </c>
      <c r="C558" s="1201"/>
    </row>
    <row r="559" spans="1:3" ht="33.75">
      <c r="A559" s="337">
        <v>2069</v>
      </c>
      <c r="B559" s="275" t="s">
        <v>684</v>
      </c>
      <c r="C559" s="1201"/>
    </row>
    <row r="560" spans="1:3" ht="21">
      <c r="A560" s="337">
        <v>2070</v>
      </c>
      <c r="B560" s="279" t="s">
        <v>685</v>
      </c>
      <c r="C560" s="1201"/>
    </row>
    <row r="561" spans="1:3" ht="22.5">
      <c r="A561" s="337">
        <v>2071</v>
      </c>
      <c r="B561" s="275" t="s">
        <v>686</v>
      </c>
      <c r="C561" s="1201"/>
    </row>
    <row r="562" spans="1:3">
      <c r="A562" s="337">
        <v>2072</v>
      </c>
      <c r="B562" s="181" t="s">
        <v>687</v>
      </c>
      <c r="C562" s="1201"/>
    </row>
    <row r="563" spans="1:3">
      <c r="A563" s="337">
        <v>2073</v>
      </c>
      <c r="B563" s="1070" t="s">
        <v>688</v>
      </c>
      <c r="C563" s="1201"/>
    </row>
    <row r="564" spans="1:3">
      <c r="A564" s="337">
        <v>2074</v>
      </c>
      <c r="B564" s="181" t="s">
        <v>689</v>
      </c>
      <c r="C564" s="1201"/>
    </row>
    <row r="565" spans="1:3" ht="15.75">
      <c r="A565" s="337">
        <v>2075</v>
      </c>
      <c r="B565" s="1187" t="s">
        <v>623</v>
      </c>
      <c r="C565" s="1201"/>
    </row>
    <row r="566" spans="1:3">
      <c r="A566" s="337">
        <v>2076</v>
      </c>
      <c r="B566" s="303" t="s">
        <v>690</v>
      </c>
      <c r="C566" s="1201"/>
    </row>
    <row r="567" spans="1:3">
      <c r="A567" s="337">
        <v>2077</v>
      </c>
      <c r="B567" s="1186" t="s">
        <v>691</v>
      </c>
      <c r="C567" s="1201"/>
    </row>
    <row r="568" spans="1:3">
      <c r="A568" s="337">
        <v>2078</v>
      </c>
      <c r="B568" s="303" t="s">
        <v>692</v>
      </c>
      <c r="C568" s="1201"/>
    </row>
    <row r="569" spans="1:3">
      <c r="A569" s="337">
        <v>2079</v>
      </c>
      <c r="B569" s="275" t="s">
        <v>693</v>
      </c>
      <c r="C569" s="1201"/>
    </row>
    <row r="570" spans="1:3">
      <c r="A570" s="337">
        <v>2080</v>
      </c>
      <c r="B570" s="1186" t="s">
        <v>694</v>
      </c>
      <c r="C570" s="1201"/>
    </row>
    <row r="571" spans="1:3">
      <c r="A571" s="337">
        <v>2081</v>
      </c>
      <c r="B571" s="303" t="s">
        <v>695</v>
      </c>
      <c r="C571" s="1201"/>
    </row>
    <row r="572" spans="1:3" ht="22.5">
      <c r="A572" s="337">
        <v>2082</v>
      </c>
      <c r="B572" s="275" t="s">
        <v>696</v>
      </c>
      <c r="C572" s="1201"/>
    </row>
    <row r="573" spans="1:3">
      <c r="A573" s="337">
        <v>2083</v>
      </c>
      <c r="B573" s="275" t="s">
        <v>697</v>
      </c>
      <c r="C573" s="1201"/>
    </row>
    <row r="574" spans="1:3">
      <c r="A574" s="337">
        <v>2084</v>
      </c>
      <c r="B574" s="275" t="s">
        <v>698</v>
      </c>
      <c r="C574" s="1201"/>
    </row>
    <row r="575" spans="1:3">
      <c r="A575" s="337">
        <v>2085</v>
      </c>
      <c r="B575" s="1186" t="s">
        <v>699</v>
      </c>
      <c r="C575" s="1201"/>
    </row>
    <row r="576" spans="1:3" ht="13.5" thickBot="1">
      <c r="A576" s="337">
        <v>2086</v>
      </c>
      <c r="B576" s="1185" t="s">
        <v>700</v>
      </c>
      <c r="C576" s="1201"/>
    </row>
    <row r="577" spans="1:3" ht="25.5">
      <c r="A577" s="337">
        <v>2087</v>
      </c>
      <c r="B577" s="322" t="s">
        <v>1224</v>
      </c>
      <c r="C577" s="1201"/>
    </row>
    <row r="578" spans="1:3">
      <c r="A578" s="337">
        <v>2088</v>
      </c>
      <c r="B578" t="s">
        <v>701</v>
      </c>
      <c r="C578" s="1201"/>
    </row>
    <row r="579" spans="1:3">
      <c r="A579" s="337">
        <v>2089</v>
      </c>
      <c r="B579" t="s">
        <v>702</v>
      </c>
      <c r="C579" s="1201"/>
    </row>
    <row r="580" spans="1:3">
      <c r="A580" s="337">
        <v>2090</v>
      </c>
      <c r="B580" t="s">
        <v>703</v>
      </c>
      <c r="C580" s="1201"/>
    </row>
    <row r="581" spans="1:3" ht="15.75">
      <c r="A581" s="337">
        <v>2091</v>
      </c>
      <c r="B581" s="35" t="s">
        <v>704</v>
      </c>
      <c r="C581" s="1201"/>
    </row>
    <row r="582" spans="1:3" ht="21">
      <c r="A582" s="337">
        <v>2092</v>
      </c>
      <c r="B582" s="288" t="s">
        <v>705</v>
      </c>
      <c r="C582" s="1201"/>
    </row>
    <row r="583" spans="1:3" ht="21">
      <c r="A583" s="337">
        <v>2093</v>
      </c>
      <c r="B583" s="288" t="s">
        <v>706</v>
      </c>
      <c r="C583" s="1201"/>
    </row>
    <row r="584" spans="1:3">
      <c r="A584" s="337">
        <v>2094</v>
      </c>
      <c r="B584" s="248" t="s">
        <v>707</v>
      </c>
      <c r="C584" s="1201"/>
    </row>
    <row r="585" spans="1:3">
      <c r="A585" s="337">
        <v>2095</v>
      </c>
      <c r="B585" s="248" t="s">
        <v>708</v>
      </c>
      <c r="C585" s="1201"/>
    </row>
    <row r="586" spans="1:3">
      <c r="A586" s="337">
        <v>2096</v>
      </c>
      <c r="B586" s="248" t="s">
        <v>709</v>
      </c>
      <c r="C586" s="1201"/>
    </row>
    <row r="587" spans="1:3">
      <c r="A587" s="337">
        <v>2097</v>
      </c>
      <c r="B587" s="1190" t="s">
        <v>710</v>
      </c>
      <c r="C587" s="1201"/>
    </row>
    <row r="588" spans="1:3">
      <c r="A588" s="337">
        <v>2098</v>
      </c>
      <c r="B588" s="1190" t="s">
        <v>711</v>
      </c>
      <c r="C588" s="1201"/>
    </row>
    <row r="589" spans="1:3">
      <c r="A589" s="337">
        <v>2099</v>
      </c>
      <c r="B589" s="1190" t="s">
        <v>712</v>
      </c>
      <c r="C589" s="1201"/>
    </row>
    <row r="590" spans="1:3" ht="15">
      <c r="A590" s="337">
        <v>2100</v>
      </c>
      <c r="B590" s="812" t="s">
        <v>713</v>
      </c>
      <c r="C590" s="1201"/>
    </row>
    <row r="591" spans="1:3">
      <c r="A591" s="337">
        <v>2101</v>
      </c>
      <c r="B591" s="292" t="s">
        <v>714</v>
      </c>
      <c r="C591" s="1201"/>
    </row>
    <row r="592" spans="1:3" ht="31.5">
      <c r="A592" s="337">
        <v>2102</v>
      </c>
      <c r="B592" s="288" t="s">
        <v>715</v>
      </c>
      <c r="C592" s="1201"/>
    </row>
    <row r="593" spans="1:3" ht="21">
      <c r="A593" s="337">
        <v>2103</v>
      </c>
      <c r="B593" s="288" t="s">
        <v>716</v>
      </c>
      <c r="C593" s="1201"/>
    </row>
    <row r="594" spans="1:3">
      <c r="A594" s="337">
        <v>2104</v>
      </c>
      <c r="B594" s="288" t="s">
        <v>717</v>
      </c>
      <c r="C594" s="1201"/>
    </row>
    <row r="595" spans="1:3" ht="15">
      <c r="A595" s="337">
        <v>2105</v>
      </c>
      <c r="B595" s="812" t="s">
        <v>718</v>
      </c>
      <c r="C595" s="1201"/>
    </row>
    <row r="596" spans="1:3" ht="22.5">
      <c r="A596" s="337">
        <v>2106</v>
      </c>
      <c r="B596" s="49" t="s">
        <v>719</v>
      </c>
      <c r="C596" s="1201"/>
    </row>
    <row r="597" spans="1:3">
      <c r="A597" s="337">
        <v>2107</v>
      </c>
      <c r="B597" s="49" t="s">
        <v>720</v>
      </c>
      <c r="C597" s="1201"/>
    </row>
    <row r="598" spans="1:3">
      <c r="A598" s="337">
        <v>2108</v>
      </c>
      <c r="B598" s="49" t="s">
        <v>721</v>
      </c>
      <c r="C598" s="1201"/>
    </row>
    <row r="599" spans="1:3">
      <c r="A599" s="337">
        <v>2109</v>
      </c>
      <c r="B599" s="49" t="s">
        <v>722</v>
      </c>
      <c r="C599" s="1201"/>
    </row>
    <row r="600" spans="1:3" ht="21">
      <c r="A600" s="337">
        <v>2110</v>
      </c>
      <c r="B600" s="288" t="s">
        <v>723</v>
      </c>
      <c r="C600" s="1201"/>
    </row>
    <row r="601" spans="1:3" ht="21">
      <c r="A601" s="337">
        <v>2111</v>
      </c>
      <c r="B601" s="288" t="s">
        <v>724</v>
      </c>
      <c r="C601" s="1201"/>
    </row>
    <row r="602" spans="1:3">
      <c r="A602" s="337">
        <v>2112</v>
      </c>
      <c r="B602" s="49" t="s">
        <v>725</v>
      </c>
      <c r="C602" s="1201"/>
    </row>
    <row r="603" spans="1:3" ht="22.5">
      <c r="A603" s="337">
        <v>2113</v>
      </c>
      <c r="B603" s="49" t="s">
        <v>726</v>
      </c>
      <c r="C603" s="1201"/>
    </row>
    <row r="604" spans="1:3" ht="31.5">
      <c r="A604" s="337">
        <v>2114</v>
      </c>
      <c r="B604" s="288" t="s">
        <v>727</v>
      </c>
      <c r="C604" s="1201"/>
    </row>
    <row r="605" spans="1:3">
      <c r="A605" s="337">
        <v>2115</v>
      </c>
      <c r="B605" s="49" t="s">
        <v>728</v>
      </c>
      <c r="C605" s="1201"/>
    </row>
    <row r="606" spans="1:3" ht="22.5">
      <c r="A606" s="337">
        <v>2116</v>
      </c>
      <c r="B606" s="49" t="s">
        <v>729</v>
      </c>
      <c r="C606" s="1201"/>
    </row>
    <row r="607" spans="1:3" ht="21">
      <c r="A607" s="337">
        <v>2117</v>
      </c>
      <c r="B607" s="288" t="s">
        <v>730</v>
      </c>
      <c r="C607" s="1201"/>
    </row>
    <row r="608" spans="1:3">
      <c r="A608" s="337">
        <v>2118</v>
      </c>
      <c r="B608" s="248" t="s">
        <v>731</v>
      </c>
      <c r="C608" s="1201"/>
    </row>
    <row r="609" spans="1:3">
      <c r="A609" s="337">
        <v>2119</v>
      </c>
      <c r="B609" s="327" t="s">
        <v>732</v>
      </c>
      <c r="C609" s="1201"/>
    </row>
    <row r="610" spans="1:3">
      <c r="A610" s="337">
        <v>2120</v>
      </c>
      <c r="B610" s="291" t="s">
        <v>733</v>
      </c>
      <c r="C610" s="1201"/>
    </row>
    <row r="611" spans="1:3">
      <c r="A611" s="337">
        <v>2121</v>
      </c>
      <c r="B611" s="296" t="s">
        <v>734</v>
      </c>
      <c r="C611" s="1201"/>
    </row>
    <row r="612" spans="1:3">
      <c r="A612" s="337">
        <v>2122</v>
      </c>
      <c r="B612" s="1189" t="s">
        <v>735</v>
      </c>
      <c r="C612" s="1201"/>
    </row>
    <row r="613" spans="1:3">
      <c r="A613" s="337">
        <v>2123</v>
      </c>
      <c r="B613" s="1188" t="s">
        <v>736</v>
      </c>
      <c r="C613" s="1201"/>
    </row>
    <row r="614" spans="1:3">
      <c r="A614" s="337">
        <v>2124</v>
      </c>
      <c r="B614" s="296" t="s">
        <v>737</v>
      </c>
      <c r="C614" s="1201"/>
    </row>
    <row r="615" spans="1:3">
      <c r="A615" s="337">
        <v>2125</v>
      </c>
      <c r="B615" s="49" t="s">
        <v>738</v>
      </c>
      <c r="C615" s="1201"/>
    </row>
    <row r="616" spans="1:3" ht="21">
      <c r="A616" s="337">
        <v>2126</v>
      </c>
      <c r="B616" s="288" t="s">
        <v>739</v>
      </c>
      <c r="C616" s="1201"/>
    </row>
    <row r="617" spans="1:3" ht="13.5" thickBot="1">
      <c r="A617" s="337">
        <v>2127</v>
      </c>
      <c r="B617" s="1205" t="s">
        <v>740</v>
      </c>
      <c r="C617" s="1201"/>
    </row>
    <row r="618" spans="1:3" ht="25.5">
      <c r="A618" s="337">
        <v>2128</v>
      </c>
      <c r="B618" s="322" t="s">
        <v>1225</v>
      </c>
      <c r="C618" s="1201"/>
    </row>
    <row r="619" spans="1:3" ht="15.75">
      <c r="A619" s="337">
        <v>2129</v>
      </c>
      <c r="B619" s="35" t="s">
        <v>741</v>
      </c>
      <c r="C619" s="1201"/>
    </row>
    <row r="620" spans="1:3" ht="24">
      <c r="A620" s="337">
        <v>2130</v>
      </c>
      <c r="B620" s="1094" t="s">
        <v>742</v>
      </c>
      <c r="C620" s="1201"/>
    </row>
    <row r="621" spans="1:3" ht="15">
      <c r="A621" s="337">
        <v>2131</v>
      </c>
      <c r="B621" s="1192" t="s">
        <v>743</v>
      </c>
      <c r="C621" s="1201"/>
    </row>
    <row r="622" spans="1:3">
      <c r="A622" s="337">
        <v>2132</v>
      </c>
      <c r="B622" s="331" t="s">
        <v>744</v>
      </c>
      <c r="C622" s="1201"/>
    </row>
    <row r="623" spans="1:3" ht="22.5">
      <c r="A623" s="337">
        <v>2133</v>
      </c>
      <c r="B623" s="300" t="s">
        <v>1270</v>
      </c>
      <c r="C623" s="1201"/>
    </row>
    <row r="624" spans="1:3" ht="22.5">
      <c r="A624" s="337">
        <v>2134</v>
      </c>
      <c r="B624" s="49" t="s">
        <v>745</v>
      </c>
      <c r="C624" s="1201"/>
    </row>
    <row r="625" spans="1:3" ht="22.5">
      <c r="A625" s="337">
        <v>2135</v>
      </c>
      <c r="B625" s="49" t="s">
        <v>746</v>
      </c>
      <c r="C625" s="1201"/>
    </row>
    <row r="626" spans="1:3">
      <c r="A626" s="337">
        <v>2136</v>
      </c>
      <c r="B626" s="1206" t="s">
        <v>747</v>
      </c>
      <c r="C626" s="1201"/>
    </row>
    <row r="627" spans="1:3">
      <c r="A627" s="337">
        <v>2137</v>
      </c>
      <c r="B627" s="49" t="s">
        <v>748</v>
      </c>
      <c r="C627" s="1201"/>
    </row>
    <row r="628" spans="1:3">
      <c r="A628" s="337">
        <v>2138</v>
      </c>
      <c r="B628" s="1206" t="s">
        <v>749</v>
      </c>
      <c r="C628" s="1201"/>
    </row>
    <row r="629" spans="1:3">
      <c r="A629" s="337">
        <v>2139</v>
      </c>
      <c r="B629" s="49" t="s">
        <v>750</v>
      </c>
      <c r="C629" s="1201"/>
    </row>
    <row r="630" spans="1:3">
      <c r="A630" s="337">
        <v>2140</v>
      </c>
      <c r="B630" s="1206" t="s">
        <v>751</v>
      </c>
      <c r="C630" s="1201"/>
    </row>
    <row r="631" spans="1:3">
      <c r="A631" s="337">
        <v>2141</v>
      </c>
      <c r="B631" s="49" t="s">
        <v>752</v>
      </c>
      <c r="C631" s="1201"/>
    </row>
    <row r="632" spans="1:3">
      <c r="A632" s="337">
        <v>2142</v>
      </c>
      <c r="B632" s="1206" t="s">
        <v>753</v>
      </c>
      <c r="C632" s="1201"/>
    </row>
    <row r="633" spans="1:3">
      <c r="A633" s="337">
        <v>2143</v>
      </c>
      <c r="B633" s="49" t="s">
        <v>754</v>
      </c>
      <c r="C633" s="1201"/>
    </row>
    <row r="634" spans="1:3">
      <c r="A634" s="337">
        <v>2144</v>
      </c>
      <c r="B634" s="330" t="s">
        <v>755</v>
      </c>
      <c r="C634" s="1201"/>
    </row>
    <row r="635" spans="1:3" ht="33.75">
      <c r="A635" s="337">
        <v>2145</v>
      </c>
      <c r="B635" s="298" t="s">
        <v>756</v>
      </c>
      <c r="C635" s="1201"/>
    </row>
    <row r="636" spans="1:3">
      <c r="A636" s="337">
        <v>2146</v>
      </c>
      <c r="B636" s="331" t="s">
        <v>757</v>
      </c>
      <c r="C636" s="1201"/>
    </row>
    <row r="637" spans="1:3" ht="22.5">
      <c r="A637" s="337">
        <v>2147</v>
      </c>
      <c r="B637" s="300" t="s">
        <v>758</v>
      </c>
      <c r="C637" s="1201"/>
    </row>
    <row r="638" spans="1:3">
      <c r="A638" s="337">
        <v>2148</v>
      </c>
      <c r="B638" s="330" t="s">
        <v>759</v>
      </c>
      <c r="C638" s="1201"/>
    </row>
    <row r="639" spans="1:3">
      <c r="A639" s="337">
        <v>2149</v>
      </c>
      <c r="B639" s="330" t="s">
        <v>760</v>
      </c>
      <c r="C639" s="1201"/>
    </row>
    <row r="640" spans="1:3">
      <c r="A640" s="337">
        <v>2150</v>
      </c>
      <c r="B640" s="330" t="s">
        <v>761</v>
      </c>
      <c r="C640" s="1201"/>
    </row>
    <row r="641" spans="1:3">
      <c r="A641" s="337">
        <v>2151</v>
      </c>
      <c r="B641" s="332" t="s">
        <v>221</v>
      </c>
      <c r="C641" s="1201"/>
    </row>
    <row r="642" spans="1:3">
      <c r="A642" s="337">
        <v>2152</v>
      </c>
      <c r="B642" s="300" t="s">
        <v>762</v>
      </c>
      <c r="C642" s="1201"/>
    </row>
    <row r="643" spans="1:3">
      <c r="A643" s="337">
        <v>2153</v>
      </c>
      <c r="B643" s="49" t="s">
        <v>763</v>
      </c>
      <c r="C643" s="1201"/>
    </row>
    <row r="644" spans="1:3">
      <c r="A644" s="337">
        <v>2154</v>
      </c>
      <c r="B644" s="49" t="s">
        <v>764</v>
      </c>
      <c r="C644" s="1201"/>
    </row>
    <row r="645" spans="1:3">
      <c r="A645" s="337">
        <v>2155</v>
      </c>
      <c r="B645" s="49" t="s">
        <v>765</v>
      </c>
      <c r="C645" s="1201"/>
    </row>
    <row r="646" spans="1:3">
      <c r="A646" s="337">
        <v>2156</v>
      </c>
      <c r="B646" s="49" t="s">
        <v>766</v>
      </c>
      <c r="C646" s="1201"/>
    </row>
    <row r="647" spans="1:3">
      <c r="A647" s="337">
        <v>2157</v>
      </c>
      <c r="B647" s="332" t="s">
        <v>767</v>
      </c>
      <c r="C647" s="1201"/>
    </row>
    <row r="648" spans="1:3" ht="22.5">
      <c r="A648" s="337">
        <v>2158</v>
      </c>
      <c r="B648" s="300" t="s">
        <v>768</v>
      </c>
      <c r="C648" s="1201"/>
    </row>
    <row r="649" spans="1:3">
      <c r="A649" s="337">
        <v>2159</v>
      </c>
      <c r="B649" s="49" t="s">
        <v>769</v>
      </c>
      <c r="C649" s="1201"/>
    </row>
    <row r="650" spans="1:3" ht="15">
      <c r="A650" s="337">
        <v>2160</v>
      </c>
      <c r="B650" s="812" t="s">
        <v>770</v>
      </c>
      <c r="C650" s="1201"/>
    </row>
    <row r="651" spans="1:3" ht="22.5">
      <c r="A651" s="337">
        <v>2161</v>
      </c>
      <c r="B651" s="49" t="s">
        <v>771</v>
      </c>
      <c r="C651" s="1201"/>
    </row>
    <row r="652" spans="1:3">
      <c r="A652" s="337">
        <v>2162</v>
      </c>
      <c r="B652" s="49" t="s">
        <v>772</v>
      </c>
      <c r="C652" s="1201"/>
    </row>
    <row r="653" spans="1:3">
      <c r="A653" s="337">
        <v>2163</v>
      </c>
      <c r="B653" s="330" t="s">
        <v>773</v>
      </c>
      <c r="C653" s="1201"/>
    </row>
    <row r="654" spans="1:3">
      <c r="A654" s="337">
        <v>2164</v>
      </c>
      <c r="B654" s="331" t="s">
        <v>774</v>
      </c>
      <c r="C654" s="1201"/>
    </row>
    <row r="655" spans="1:3" ht="33.75">
      <c r="A655" s="337">
        <v>2165</v>
      </c>
      <c r="B655" s="300" t="s">
        <v>775</v>
      </c>
      <c r="C655" s="1201"/>
    </row>
    <row r="656" spans="1:3" ht="33.75">
      <c r="A656" s="337">
        <v>2166</v>
      </c>
      <c r="B656" s="299" t="s">
        <v>776</v>
      </c>
      <c r="C656" s="1201"/>
    </row>
    <row r="657" spans="1:3">
      <c r="A657" s="337">
        <v>2167</v>
      </c>
      <c r="B657" s="331" t="s">
        <v>777</v>
      </c>
      <c r="C657" s="1201"/>
    </row>
    <row r="658" spans="1:3">
      <c r="A658" s="337">
        <v>2168</v>
      </c>
      <c r="B658" s="330" t="s">
        <v>778</v>
      </c>
      <c r="C658" s="1201"/>
    </row>
    <row r="659" spans="1:3">
      <c r="A659" s="337">
        <v>2169</v>
      </c>
      <c r="B659" s="332" t="s">
        <v>779</v>
      </c>
      <c r="C659" s="1201"/>
    </row>
    <row r="660" spans="1:3" ht="22.5">
      <c r="A660" s="337">
        <v>2170</v>
      </c>
      <c r="B660" s="299" t="s">
        <v>1707</v>
      </c>
      <c r="C660" s="1201"/>
    </row>
    <row r="661" spans="1:3">
      <c r="A661" s="337">
        <v>2171</v>
      </c>
      <c r="B661" s="333" t="s">
        <v>780</v>
      </c>
      <c r="C661" s="1201"/>
    </row>
    <row r="662" spans="1:3" ht="15">
      <c r="A662" s="337">
        <v>2172</v>
      </c>
      <c r="B662" s="1192" t="s">
        <v>781</v>
      </c>
      <c r="C662" s="1201"/>
    </row>
    <row r="663" spans="1:3">
      <c r="A663" s="337">
        <v>2173</v>
      </c>
      <c r="B663" s="298" t="s">
        <v>782</v>
      </c>
      <c r="C663" s="1201"/>
    </row>
    <row r="664" spans="1:3" ht="22.5">
      <c r="A664" s="337">
        <v>2174</v>
      </c>
      <c r="B664" s="298" t="s">
        <v>783</v>
      </c>
      <c r="C664" s="1201"/>
    </row>
    <row r="665" spans="1:3">
      <c r="A665" s="337">
        <v>2175</v>
      </c>
      <c r="B665" s="1207" t="s">
        <v>784</v>
      </c>
      <c r="C665" s="1201"/>
    </row>
    <row r="666" spans="1:3">
      <c r="A666" s="337">
        <v>2176</v>
      </c>
      <c r="B666" s="1208" t="s">
        <v>785</v>
      </c>
      <c r="C666" s="1201"/>
    </row>
    <row r="667" spans="1:3">
      <c r="A667" s="337">
        <v>2177</v>
      </c>
      <c r="B667" s="1209" t="s">
        <v>786</v>
      </c>
      <c r="C667" s="1201"/>
    </row>
    <row r="668" spans="1:3">
      <c r="A668" s="337">
        <v>2178</v>
      </c>
      <c r="B668" s="646" t="s">
        <v>787</v>
      </c>
      <c r="C668" s="1201"/>
    </row>
    <row r="669" spans="1:3">
      <c r="A669" s="337">
        <v>2179</v>
      </c>
      <c r="B669" s="512" t="s">
        <v>788</v>
      </c>
      <c r="C669" s="1201"/>
    </row>
    <row r="670" spans="1:3">
      <c r="A670" s="337">
        <v>2180</v>
      </c>
      <c r="B670" s="512" t="s">
        <v>789</v>
      </c>
      <c r="C670" s="1201"/>
    </row>
    <row r="671" spans="1:3">
      <c r="A671" s="337">
        <v>2181</v>
      </c>
      <c r="B671" s="512" t="s">
        <v>790</v>
      </c>
      <c r="C671" s="1201"/>
    </row>
    <row r="672" spans="1:3">
      <c r="A672" s="337">
        <v>2182</v>
      </c>
      <c r="B672" s="1210" t="s">
        <v>791</v>
      </c>
      <c r="C672" s="1201"/>
    </row>
    <row r="673" spans="1:3" ht="13.5" thickBot="1">
      <c r="A673" s="337">
        <v>2183</v>
      </c>
      <c r="B673" s="1211" t="s">
        <v>792</v>
      </c>
      <c r="C673" s="1201"/>
    </row>
    <row r="674" spans="1:3">
      <c r="A674" s="337">
        <v>2184</v>
      </c>
      <c r="B674" s="1212" t="s">
        <v>793</v>
      </c>
      <c r="C674" s="1201"/>
    </row>
    <row r="675" spans="1:3">
      <c r="A675" s="337">
        <v>2185</v>
      </c>
      <c r="B675" s="1212" t="s">
        <v>794</v>
      </c>
      <c r="C675" s="1201"/>
    </row>
    <row r="676" spans="1:3">
      <c r="A676" s="337">
        <v>2186</v>
      </c>
      <c r="B676" s="1213" t="s">
        <v>795</v>
      </c>
      <c r="C676" s="1201"/>
    </row>
    <row r="677" spans="1:3" ht="13.5" thickBot="1">
      <c r="A677" s="337">
        <v>2187</v>
      </c>
      <c r="B677" s="1212" t="s">
        <v>796</v>
      </c>
      <c r="C677" s="1201"/>
    </row>
    <row r="678" spans="1:3" ht="25.5">
      <c r="A678" s="337">
        <v>2188</v>
      </c>
      <c r="B678" s="322" t="s">
        <v>1226</v>
      </c>
      <c r="C678" s="1201"/>
    </row>
    <row r="679" spans="1:3" ht="15.75">
      <c r="A679" s="337">
        <v>2189</v>
      </c>
      <c r="B679" s="35" t="s">
        <v>797</v>
      </c>
      <c r="C679" s="1201"/>
    </row>
    <row r="680" spans="1:3">
      <c r="A680" s="337">
        <v>2190</v>
      </c>
      <c r="B680" s="278" t="s">
        <v>798</v>
      </c>
      <c r="C680" s="1201"/>
    </row>
    <row r="681" spans="1:3">
      <c r="A681" s="337">
        <v>2191</v>
      </c>
      <c r="B681" s="300" t="s">
        <v>1271</v>
      </c>
      <c r="C681" s="1201"/>
    </row>
    <row r="682" spans="1:3">
      <c r="A682" s="337">
        <v>2192</v>
      </c>
      <c r="B682" s="278" t="s">
        <v>799</v>
      </c>
      <c r="C682" s="1201"/>
    </row>
    <row r="683" spans="1:3">
      <c r="A683" s="337">
        <v>2193</v>
      </c>
      <c r="B683" s="331" t="s">
        <v>800</v>
      </c>
      <c r="C683" s="1201"/>
    </row>
    <row r="684" spans="1:3">
      <c r="A684" s="337">
        <v>2194</v>
      </c>
      <c r="B684" s="277" t="s">
        <v>801</v>
      </c>
      <c r="C684" s="1201"/>
    </row>
    <row r="685" spans="1:3">
      <c r="A685" s="337">
        <v>2195</v>
      </c>
      <c r="B685" s="298" t="s">
        <v>802</v>
      </c>
      <c r="C685" s="1201"/>
    </row>
    <row r="686" spans="1:3">
      <c r="A686" s="337">
        <v>2196</v>
      </c>
      <c r="B686" s="1214" t="s">
        <v>803</v>
      </c>
      <c r="C686" s="1201"/>
    </row>
    <row r="687" spans="1:3">
      <c r="A687" s="337">
        <v>2197</v>
      </c>
      <c r="B687" s="1208" t="s">
        <v>804</v>
      </c>
      <c r="C687" s="1201"/>
    </row>
    <row r="688" spans="1:3">
      <c r="A688" s="337">
        <v>2198</v>
      </c>
      <c r="B688" s="1207" t="s">
        <v>805</v>
      </c>
      <c r="C688" s="1201"/>
    </row>
    <row r="689" spans="1:3">
      <c r="A689" s="337">
        <v>2199</v>
      </c>
      <c r="B689" s="1208" t="s">
        <v>806</v>
      </c>
      <c r="C689" s="1201"/>
    </row>
    <row r="690" spans="1:3">
      <c r="A690" s="337">
        <v>2200</v>
      </c>
      <c r="B690" s="181" t="s">
        <v>807</v>
      </c>
      <c r="C690" s="1201"/>
    </row>
    <row r="691" spans="1:3">
      <c r="A691" s="337">
        <v>2201</v>
      </c>
      <c r="B691" s="1215" t="s">
        <v>808</v>
      </c>
      <c r="C691" s="1201"/>
    </row>
    <row r="692" spans="1:3">
      <c r="A692" s="337">
        <v>2202</v>
      </c>
      <c r="B692" s="1216" t="s">
        <v>809</v>
      </c>
      <c r="C692" s="1201"/>
    </row>
    <row r="693" spans="1:3">
      <c r="A693" s="337">
        <v>2203</v>
      </c>
      <c r="B693" s="1216" t="s">
        <v>810</v>
      </c>
      <c r="C693" s="1201"/>
    </row>
    <row r="694" spans="1:3">
      <c r="A694" s="337">
        <v>2204</v>
      </c>
      <c r="B694" s="1217" t="s">
        <v>811</v>
      </c>
      <c r="C694" s="1201"/>
    </row>
    <row r="695" spans="1:3">
      <c r="A695" s="337">
        <v>2205</v>
      </c>
      <c r="B695" s="1218" t="s">
        <v>812</v>
      </c>
      <c r="C695" s="1201"/>
    </row>
    <row r="696" spans="1:3">
      <c r="A696" s="337">
        <v>2206</v>
      </c>
      <c r="B696" s="1216" t="s">
        <v>813</v>
      </c>
      <c r="C696" s="1201"/>
    </row>
    <row r="697" spans="1:3">
      <c r="A697" s="337">
        <v>2207</v>
      </c>
      <c r="B697" s="1219" t="s">
        <v>814</v>
      </c>
      <c r="C697" s="1201"/>
    </row>
    <row r="698" spans="1:3">
      <c r="A698" s="337">
        <v>2208</v>
      </c>
      <c r="B698" s="1217" t="s">
        <v>815</v>
      </c>
      <c r="C698" s="1201"/>
    </row>
    <row r="699" spans="1:3">
      <c r="A699" s="337">
        <v>2209</v>
      </c>
      <c r="B699" s="1217" t="s">
        <v>816</v>
      </c>
      <c r="C699" s="1201"/>
    </row>
    <row r="700" spans="1:3">
      <c r="A700" s="337">
        <v>2210</v>
      </c>
      <c r="B700" s="181" t="s">
        <v>817</v>
      </c>
      <c r="C700" s="1201"/>
    </row>
    <row r="701" spans="1:3" ht="13.5" thickBot="1">
      <c r="A701" s="337">
        <v>2211</v>
      </c>
      <c r="B701" s="1193" t="s">
        <v>818</v>
      </c>
      <c r="C701" s="1201"/>
    </row>
    <row r="702" spans="1:3">
      <c r="A702" s="337">
        <v>2212</v>
      </c>
      <c r="B702" s="322" t="s">
        <v>819</v>
      </c>
      <c r="C702" s="1201"/>
    </row>
    <row r="703" spans="1:3" ht="18">
      <c r="A703" s="337">
        <v>2213</v>
      </c>
      <c r="B703" s="767" t="s">
        <v>820</v>
      </c>
      <c r="C703" s="1201"/>
    </row>
    <row r="704" spans="1:3" ht="15.75">
      <c r="A704" s="337">
        <v>2214</v>
      </c>
      <c r="B704" s="35" t="s">
        <v>821</v>
      </c>
      <c r="C704" s="1201"/>
    </row>
    <row r="705" spans="1:3">
      <c r="A705" s="337">
        <v>2215</v>
      </c>
      <c r="B705" s="300" t="s">
        <v>822</v>
      </c>
      <c r="C705" s="1201"/>
    </row>
    <row r="706" spans="1:3" ht="22.5">
      <c r="A706" s="337">
        <v>2216</v>
      </c>
      <c r="B706" s="49" t="s">
        <v>823</v>
      </c>
      <c r="C706" s="1201"/>
    </row>
    <row r="707" spans="1:3">
      <c r="A707" s="337">
        <v>2217</v>
      </c>
      <c r="B707" s="49" t="s">
        <v>824</v>
      </c>
      <c r="C707" s="1201"/>
    </row>
    <row r="708" spans="1:3">
      <c r="A708" s="337">
        <v>2218</v>
      </c>
      <c r="B708" s="298" t="s">
        <v>825</v>
      </c>
      <c r="C708" s="1201"/>
    </row>
    <row r="709" spans="1:3" ht="22.5">
      <c r="A709" s="337">
        <v>2219</v>
      </c>
      <c r="B709" s="298" t="s">
        <v>826</v>
      </c>
      <c r="C709" s="1201"/>
    </row>
    <row r="710" spans="1:3">
      <c r="A710" s="337">
        <v>2220</v>
      </c>
      <c r="B710" s="330" t="s">
        <v>827</v>
      </c>
      <c r="C710" s="1201"/>
    </row>
    <row r="711" spans="1:3">
      <c r="A711" s="337">
        <v>2221</v>
      </c>
      <c r="B711" s="1220" t="s">
        <v>828</v>
      </c>
      <c r="C711" s="1201"/>
    </row>
    <row r="712" spans="1:3">
      <c r="A712" s="337">
        <v>2222</v>
      </c>
      <c r="B712" s="1221" t="s">
        <v>829</v>
      </c>
      <c r="C712" s="1201"/>
    </row>
    <row r="713" spans="1:3" ht="31.5">
      <c r="A713" s="337">
        <v>2223</v>
      </c>
      <c r="B713" s="279" t="s">
        <v>830</v>
      </c>
      <c r="C713" s="1201"/>
    </row>
    <row r="714" spans="1:3">
      <c r="A714" s="337">
        <v>2224</v>
      </c>
      <c r="B714" s="275" t="s">
        <v>831</v>
      </c>
      <c r="C714" s="1201"/>
    </row>
    <row r="715" spans="1:3" ht="13.5" thickBot="1">
      <c r="A715" s="337">
        <v>2225</v>
      </c>
      <c r="B715" s="1221" t="s">
        <v>832</v>
      </c>
      <c r="C715" s="1201"/>
    </row>
    <row r="716" spans="1:3">
      <c r="A716" s="337">
        <v>2226</v>
      </c>
      <c r="B716" s="322" t="s">
        <v>833</v>
      </c>
      <c r="C716" s="1201"/>
    </row>
    <row r="717" spans="1:3" ht="22.5">
      <c r="A717" s="337">
        <v>2227</v>
      </c>
      <c r="B717" s="275" t="s">
        <v>834</v>
      </c>
      <c r="C717" s="1201"/>
    </row>
    <row r="718" spans="1:3" ht="22.5">
      <c r="A718" s="337">
        <v>2228</v>
      </c>
      <c r="B718" s="275" t="s">
        <v>835</v>
      </c>
      <c r="C718" s="1201"/>
    </row>
    <row r="719" spans="1:3" ht="22.5">
      <c r="A719" s="337">
        <v>2229</v>
      </c>
      <c r="B719" s="275" t="s">
        <v>836</v>
      </c>
      <c r="C719" s="1201"/>
    </row>
    <row r="720" spans="1:3" ht="15.75">
      <c r="A720" s="337">
        <v>2230</v>
      </c>
      <c r="B720" s="35" t="s">
        <v>837</v>
      </c>
      <c r="C720" s="1201"/>
    </row>
    <row r="721" spans="1:3">
      <c r="A721" s="337">
        <v>2231</v>
      </c>
      <c r="B721" s="298" t="s">
        <v>838</v>
      </c>
      <c r="C721" s="1201"/>
    </row>
    <row r="722" spans="1:3">
      <c r="A722" s="337">
        <v>2232</v>
      </c>
      <c r="B722" s="330" t="s">
        <v>839</v>
      </c>
      <c r="C722" s="1201"/>
    </row>
    <row r="723" spans="1:3">
      <c r="A723" s="337">
        <v>2233</v>
      </c>
      <c r="B723" s="298" t="s">
        <v>840</v>
      </c>
      <c r="C723" s="1201"/>
    </row>
    <row r="724" spans="1:3">
      <c r="A724" s="337">
        <v>2234</v>
      </c>
      <c r="B724" s="331" t="s">
        <v>841</v>
      </c>
      <c r="C724" s="1201"/>
    </row>
    <row r="725" spans="1:3">
      <c r="A725" s="337">
        <v>2235</v>
      </c>
      <c r="B725" s="298" t="s">
        <v>842</v>
      </c>
      <c r="C725" s="1201"/>
    </row>
    <row r="726" spans="1:3">
      <c r="A726" s="337">
        <v>2236</v>
      </c>
      <c r="B726" s="331" t="s">
        <v>843</v>
      </c>
      <c r="C726" s="1201"/>
    </row>
    <row r="727" spans="1:3">
      <c r="A727" s="337">
        <v>2237</v>
      </c>
      <c r="B727" s="298" t="s">
        <v>844</v>
      </c>
      <c r="C727" s="1201"/>
    </row>
    <row r="728" spans="1:3">
      <c r="A728" s="337">
        <v>2238</v>
      </c>
      <c r="B728" s="331" t="s">
        <v>845</v>
      </c>
      <c r="C728" s="1201"/>
    </row>
    <row r="729" spans="1:3">
      <c r="A729" s="337">
        <v>2239</v>
      </c>
      <c r="B729" s="298" t="s">
        <v>846</v>
      </c>
      <c r="C729" s="1201"/>
    </row>
    <row r="730" spans="1:3">
      <c r="A730" s="337">
        <v>2240</v>
      </c>
      <c r="B730" s="331" t="s">
        <v>847</v>
      </c>
      <c r="C730" s="1201"/>
    </row>
    <row r="731" spans="1:3">
      <c r="A731" s="337">
        <v>2241</v>
      </c>
      <c r="B731" s="298" t="s">
        <v>848</v>
      </c>
      <c r="C731" s="1201"/>
    </row>
    <row r="732" spans="1:3">
      <c r="A732" s="337">
        <v>2242</v>
      </c>
      <c r="B732" s="331" t="s">
        <v>849</v>
      </c>
      <c r="C732" s="1201"/>
    </row>
    <row r="733" spans="1:3">
      <c r="A733" s="337">
        <v>2243</v>
      </c>
      <c r="B733" s="298" t="s">
        <v>850</v>
      </c>
      <c r="C733" s="1201"/>
    </row>
    <row r="734" spans="1:3">
      <c r="A734" s="337">
        <v>2244</v>
      </c>
      <c r="B734" s="330" t="s">
        <v>452</v>
      </c>
      <c r="C734" s="1201"/>
    </row>
    <row r="735" spans="1:3">
      <c r="A735" s="337">
        <v>2245</v>
      </c>
      <c r="B735" s="298" t="s">
        <v>851</v>
      </c>
      <c r="C735" s="1201"/>
    </row>
    <row r="736" spans="1:3">
      <c r="A736" s="337">
        <v>2246</v>
      </c>
      <c r="B736" s="330" t="s">
        <v>852</v>
      </c>
      <c r="C736" s="1201"/>
    </row>
    <row r="737" spans="1:3">
      <c r="A737" s="337">
        <v>2247</v>
      </c>
      <c r="B737" s="298" t="s">
        <v>853</v>
      </c>
      <c r="C737" s="1201"/>
    </row>
    <row r="738" spans="1:3">
      <c r="A738" s="337">
        <v>2248</v>
      </c>
      <c r="B738" s="330" t="s">
        <v>854</v>
      </c>
      <c r="C738" s="1201"/>
    </row>
    <row r="739" spans="1:3">
      <c r="A739" s="337">
        <v>2249</v>
      </c>
      <c r="B739" s="298" t="s">
        <v>855</v>
      </c>
      <c r="C739" s="1201"/>
    </row>
    <row r="740" spans="1:3">
      <c r="A740" s="337">
        <v>2250</v>
      </c>
      <c r="B740" s="330" t="s">
        <v>856</v>
      </c>
      <c r="C740" s="1201"/>
    </row>
    <row r="741" spans="1:3">
      <c r="A741" s="337">
        <v>2251</v>
      </c>
      <c r="B741" s="298" t="s">
        <v>857</v>
      </c>
      <c r="C741" s="1201"/>
    </row>
    <row r="742" spans="1:3">
      <c r="A742" s="337">
        <v>2252</v>
      </c>
      <c r="B742" s="330" t="s">
        <v>858</v>
      </c>
      <c r="C742" s="1201"/>
    </row>
    <row r="743" spans="1:3">
      <c r="A743" s="337">
        <v>2253</v>
      </c>
      <c r="B743" s="298" t="s">
        <v>859</v>
      </c>
      <c r="C743" s="1201"/>
    </row>
    <row r="744" spans="1:3">
      <c r="A744" s="337">
        <v>2254</v>
      </c>
      <c r="B744" s="330" t="s">
        <v>860</v>
      </c>
      <c r="C744" s="1201"/>
    </row>
    <row r="745" spans="1:3" ht="22.5">
      <c r="A745" s="337">
        <v>2255</v>
      </c>
      <c r="B745" s="298" t="s">
        <v>861</v>
      </c>
      <c r="C745" s="1201"/>
    </row>
    <row r="746" spans="1:3" ht="22.5">
      <c r="A746" s="337">
        <v>2256</v>
      </c>
      <c r="B746" s="298" t="s">
        <v>862</v>
      </c>
      <c r="C746" s="1201"/>
    </row>
    <row r="747" spans="1:3">
      <c r="A747" s="337">
        <v>2257</v>
      </c>
      <c r="B747" s="1207" t="s">
        <v>863</v>
      </c>
      <c r="C747" s="1201"/>
    </row>
    <row r="748" spans="1:3">
      <c r="A748" s="337">
        <v>2258</v>
      </c>
      <c r="B748" s="646" t="s">
        <v>864</v>
      </c>
      <c r="C748" s="1201"/>
    </row>
    <row r="749" spans="1:3" ht="13.5" thickBot="1">
      <c r="A749" s="337">
        <v>2259</v>
      </c>
      <c r="B749" s="646" t="s">
        <v>865</v>
      </c>
      <c r="C749" s="1201"/>
    </row>
    <row r="750" spans="1:3">
      <c r="A750" s="337">
        <v>2260</v>
      </c>
      <c r="B750" s="322" t="s">
        <v>866</v>
      </c>
      <c r="C750" s="1201"/>
    </row>
    <row r="751" spans="1:3" ht="15.75">
      <c r="A751" s="337">
        <v>2261</v>
      </c>
      <c r="B751" s="35" t="s">
        <v>867</v>
      </c>
      <c r="C751" s="1201"/>
    </row>
    <row r="752" spans="1:3">
      <c r="A752" s="337">
        <v>2262</v>
      </c>
      <c r="B752" s="330" t="s">
        <v>868</v>
      </c>
      <c r="C752" s="1201"/>
    </row>
    <row r="753" spans="1:3" ht="22.5">
      <c r="A753" s="337">
        <v>2263</v>
      </c>
      <c r="B753" s="298" t="s">
        <v>869</v>
      </c>
      <c r="C753" s="1201"/>
    </row>
    <row r="754" spans="1:3">
      <c r="A754" s="337">
        <v>2264</v>
      </c>
      <c r="B754" s="330" t="s">
        <v>870</v>
      </c>
      <c r="C754" s="1201"/>
    </row>
    <row r="755" spans="1:3" ht="22.5">
      <c r="A755" s="337">
        <v>2265</v>
      </c>
      <c r="B755" s="298" t="s">
        <v>871</v>
      </c>
      <c r="C755" s="1201"/>
    </row>
    <row r="756" spans="1:3">
      <c r="A756" s="337">
        <v>2266</v>
      </c>
      <c r="B756" s="330" t="s">
        <v>872</v>
      </c>
      <c r="C756" s="1201"/>
    </row>
    <row r="757" spans="1:3">
      <c r="A757" s="337">
        <v>2267</v>
      </c>
      <c r="B757" s="298" t="s">
        <v>873</v>
      </c>
      <c r="C757" s="1201"/>
    </row>
    <row r="758" spans="1:3">
      <c r="A758" s="337">
        <v>2268</v>
      </c>
      <c r="B758" s="331" t="s">
        <v>874</v>
      </c>
      <c r="C758" s="1201"/>
    </row>
    <row r="759" spans="1:3" ht="33.75">
      <c r="A759" s="337">
        <v>2269</v>
      </c>
      <c r="B759" s="300" t="s">
        <v>875</v>
      </c>
      <c r="C759" s="1201"/>
    </row>
    <row r="760" spans="1:3" ht="22.5">
      <c r="A760" s="337">
        <v>2270</v>
      </c>
      <c r="B760" s="299" t="s">
        <v>876</v>
      </c>
      <c r="C760" s="1201"/>
    </row>
    <row r="761" spans="1:3">
      <c r="A761" s="337">
        <v>2271</v>
      </c>
      <c r="B761" s="331" t="s">
        <v>877</v>
      </c>
      <c r="C761" s="1201"/>
    </row>
    <row r="762" spans="1:3" ht="33.75">
      <c r="A762" s="337">
        <v>2272</v>
      </c>
      <c r="B762" s="300" t="s">
        <v>878</v>
      </c>
      <c r="C762" s="1201"/>
    </row>
    <row r="763" spans="1:3" ht="56.25">
      <c r="A763" s="337">
        <v>2273</v>
      </c>
      <c r="B763" s="299" t="s">
        <v>879</v>
      </c>
      <c r="C763" s="1201"/>
    </row>
    <row r="764" spans="1:3">
      <c r="A764" s="337">
        <v>2274</v>
      </c>
      <c r="B764" s="1194" t="s">
        <v>880</v>
      </c>
      <c r="C764" s="1201"/>
    </row>
    <row r="765" spans="1:3">
      <c r="A765" s="337">
        <v>2275</v>
      </c>
      <c r="B765" s="1194" t="s">
        <v>881</v>
      </c>
      <c r="C765" s="1201"/>
    </row>
    <row r="766" spans="1:3" ht="25.5">
      <c r="A766" s="337">
        <v>2276</v>
      </c>
      <c r="B766" s="1204" t="s">
        <v>1227</v>
      </c>
      <c r="C766" s="1201"/>
    </row>
    <row r="767" spans="1:3">
      <c r="A767" s="337">
        <v>2277</v>
      </c>
      <c r="B767" t="s">
        <v>632</v>
      </c>
      <c r="C767" s="1201"/>
    </row>
    <row r="768" spans="1:3">
      <c r="A768" s="337">
        <v>2278</v>
      </c>
      <c r="B768" s="1250" t="s">
        <v>882</v>
      </c>
      <c r="C768" s="1201"/>
    </row>
    <row r="769" spans="1:3" ht="18">
      <c r="A769" s="337">
        <v>2279</v>
      </c>
      <c r="B769" s="1222" t="s">
        <v>883</v>
      </c>
      <c r="C769" s="1201"/>
    </row>
    <row r="770" spans="1:3">
      <c r="A770" s="337">
        <v>2280</v>
      </c>
      <c r="B770" s="288" t="s">
        <v>884</v>
      </c>
      <c r="C770" s="1201"/>
    </row>
    <row r="771" spans="1:3">
      <c r="A771" s="337">
        <v>2281</v>
      </c>
      <c r="B771" s="1191" t="s">
        <v>885</v>
      </c>
      <c r="C771" s="1201"/>
    </row>
    <row r="772" spans="1:3">
      <c r="A772" s="337">
        <v>2282</v>
      </c>
      <c r="B772" s="248" t="s">
        <v>886</v>
      </c>
      <c r="C772" s="1201"/>
    </row>
    <row r="773" spans="1:3">
      <c r="A773" s="337">
        <v>2283</v>
      </c>
      <c r="B773" s="248" t="s">
        <v>887</v>
      </c>
      <c r="C773" s="1201"/>
    </row>
    <row r="774" spans="1:3">
      <c r="A774" s="337">
        <v>2284</v>
      </c>
      <c r="B774" s="248" t="s">
        <v>888</v>
      </c>
      <c r="C774" s="1201"/>
    </row>
    <row r="775" spans="1:3" ht="25.5">
      <c r="A775" s="337">
        <v>2285</v>
      </c>
      <c r="B775" s="181" t="s">
        <v>889</v>
      </c>
      <c r="C775" s="1201"/>
    </row>
    <row r="776" spans="1:3" ht="38.25">
      <c r="A776" s="337">
        <v>2286</v>
      </c>
      <c r="B776" s="181" t="s">
        <v>890</v>
      </c>
      <c r="C776" s="1201"/>
    </row>
    <row r="777" spans="1:3" ht="36">
      <c r="A777" s="337">
        <v>2287</v>
      </c>
      <c r="B777" s="301" t="s">
        <v>891</v>
      </c>
      <c r="C777" s="1201"/>
    </row>
    <row r="778" spans="1:3" ht="18">
      <c r="A778" s="337">
        <v>2288</v>
      </c>
      <c r="B778" s="1222" t="s">
        <v>892</v>
      </c>
      <c r="C778" s="1201"/>
    </row>
    <row r="779" spans="1:3" ht="15.75">
      <c r="A779" s="337">
        <v>2289</v>
      </c>
      <c r="B779" s="35" t="s">
        <v>893</v>
      </c>
      <c r="C779" s="1201"/>
    </row>
    <row r="780" spans="1:3" ht="15.75">
      <c r="A780" s="337">
        <v>2290</v>
      </c>
      <c r="B780" s="1223" t="s">
        <v>894</v>
      </c>
      <c r="C780" s="1201"/>
    </row>
    <row r="781" spans="1:3">
      <c r="A781" s="337">
        <v>2291</v>
      </c>
      <c r="B781" s="1224" t="s">
        <v>895</v>
      </c>
      <c r="C781" s="1201"/>
    </row>
    <row r="782" spans="1:3">
      <c r="A782" s="337">
        <v>2292</v>
      </c>
      <c r="B782" s="1204" t="s">
        <v>896</v>
      </c>
      <c r="C782" s="1201"/>
    </row>
    <row r="783" spans="1:3">
      <c r="A783" s="337">
        <v>2293</v>
      </c>
      <c r="B783" s="1204" t="s">
        <v>897</v>
      </c>
      <c r="C783" s="1201"/>
    </row>
    <row r="784" spans="1:3">
      <c r="A784" s="337">
        <v>2294</v>
      </c>
      <c r="B784" s="1225" t="s">
        <v>898</v>
      </c>
      <c r="C784" s="1201"/>
    </row>
    <row r="785" spans="1:3">
      <c r="A785" s="337">
        <v>2295</v>
      </c>
      <c r="B785" s="1226" t="s">
        <v>899</v>
      </c>
      <c r="C785" s="1201"/>
    </row>
    <row r="786" spans="1:3" ht="13.5" thickBot="1">
      <c r="A786" s="337">
        <v>2296</v>
      </c>
      <c r="B786" s="1226" t="s">
        <v>900</v>
      </c>
      <c r="C786" s="1201"/>
    </row>
    <row r="787" spans="1:3" ht="13.5" thickBot="1">
      <c r="A787" s="337">
        <v>2297</v>
      </c>
      <c r="B787" s="1227" t="s">
        <v>901</v>
      </c>
      <c r="C787" s="1201"/>
    </row>
    <row r="788" spans="1:3" ht="18">
      <c r="A788" s="337">
        <v>2298</v>
      </c>
      <c r="B788" s="1228" t="s">
        <v>902</v>
      </c>
      <c r="C788" s="1201"/>
    </row>
    <row r="789" spans="1:3">
      <c r="A789" s="337">
        <v>2299</v>
      </c>
      <c r="B789" s="1229" t="s">
        <v>903</v>
      </c>
      <c r="C789" s="1201"/>
    </row>
    <row r="790" spans="1:3" ht="15">
      <c r="A790" s="337">
        <v>2300</v>
      </c>
      <c r="B790" s="1230" t="s">
        <v>904</v>
      </c>
      <c r="C790" s="1201"/>
    </row>
    <row r="791" spans="1:3" ht="15">
      <c r="A791" s="337">
        <v>2301</v>
      </c>
      <c r="B791" s="1230" t="s">
        <v>905</v>
      </c>
      <c r="C791" s="1201"/>
    </row>
    <row r="792" spans="1:3" ht="15">
      <c r="A792" s="337">
        <v>2302</v>
      </c>
      <c r="B792" s="1230" t="s">
        <v>906</v>
      </c>
      <c r="C792" s="1201"/>
    </row>
    <row r="793" spans="1:3">
      <c r="A793" s="337">
        <v>2303</v>
      </c>
      <c r="B793" s="1231" t="s">
        <v>907</v>
      </c>
      <c r="C793" s="1201"/>
    </row>
    <row r="794" spans="1:3">
      <c r="A794" s="337">
        <v>2304</v>
      </c>
      <c r="B794" s="1232" t="s">
        <v>908</v>
      </c>
      <c r="C794" s="1201"/>
    </row>
    <row r="795" spans="1:3">
      <c r="A795" s="337">
        <v>2305</v>
      </c>
      <c r="B795" s="1232" t="s">
        <v>909</v>
      </c>
      <c r="C795" s="1201"/>
    </row>
    <row r="796" spans="1:3">
      <c r="A796" s="337">
        <v>2306</v>
      </c>
      <c r="B796" s="1231" t="s">
        <v>910</v>
      </c>
      <c r="C796" s="1201"/>
    </row>
    <row r="797" spans="1:3" ht="27" thickBot="1">
      <c r="A797" s="337">
        <v>2307</v>
      </c>
      <c r="B797" s="885" t="s">
        <v>911</v>
      </c>
      <c r="C797" s="1201"/>
    </row>
    <row r="798" spans="1:3" ht="13.5" thickBot="1">
      <c r="A798" s="337">
        <v>2308</v>
      </c>
      <c r="B798" s="1233" t="s">
        <v>912</v>
      </c>
      <c r="C798" s="1201"/>
    </row>
    <row r="799" spans="1:3" ht="13.5" thickBot="1">
      <c r="A799" s="337">
        <v>2309</v>
      </c>
      <c r="B799" s="1234" t="s">
        <v>913</v>
      </c>
      <c r="C799" s="1201"/>
    </row>
    <row r="800" spans="1:3" ht="13.5" thickBot="1">
      <c r="A800" s="337">
        <v>2310</v>
      </c>
      <c r="B800" s="1235" t="s">
        <v>914</v>
      </c>
      <c r="C800" s="1201"/>
    </row>
    <row r="801" spans="1:3" ht="13.5" thickBot="1">
      <c r="A801" s="337">
        <v>2311</v>
      </c>
      <c r="B801" s="1235" t="s">
        <v>915</v>
      </c>
      <c r="C801" s="1201"/>
    </row>
    <row r="802" spans="1:3" ht="13.5" thickBot="1">
      <c r="A802" s="337">
        <v>2312</v>
      </c>
      <c r="B802" s="1235" t="s">
        <v>916</v>
      </c>
      <c r="C802" s="1201"/>
    </row>
    <row r="803" spans="1:3" ht="13.5" thickBot="1">
      <c r="A803" s="337">
        <v>2313</v>
      </c>
      <c r="B803" s="1235" t="s">
        <v>917</v>
      </c>
      <c r="C803" s="1201"/>
    </row>
    <row r="804" spans="1:3" ht="13.5" thickBot="1">
      <c r="A804" s="337">
        <v>2314</v>
      </c>
      <c r="B804" s="1235" t="s">
        <v>918</v>
      </c>
      <c r="C804" s="1201"/>
    </row>
    <row r="805" spans="1:3" ht="13.5" thickBot="1">
      <c r="A805" s="337">
        <v>2315</v>
      </c>
      <c r="B805" s="1235" t="s">
        <v>919</v>
      </c>
      <c r="C805" s="1201"/>
    </row>
    <row r="806" spans="1:3" ht="13.5" thickBot="1">
      <c r="A806" s="337">
        <v>2316</v>
      </c>
      <c r="B806" s="1235" t="s">
        <v>920</v>
      </c>
      <c r="C806" s="1201"/>
    </row>
    <row r="807" spans="1:3" ht="13.5" thickBot="1">
      <c r="A807" s="337">
        <v>2317</v>
      </c>
      <c r="B807" s="1235" t="s">
        <v>921</v>
      </c>
      <c r="C807" s="1201"/>
    </row>
    <row r="808" spans="1:3" ht="13.5" thickBot="1">
      <c r="A808" s="337">
        <v>2318</v>
      </c>
      <c r="B808" s="1235" t="s">
        <v>922</v>
      </c>
      <c r="C808" s="1201"/>
    </row>
    <row r="809" spans="1:3" ht="13.5" thickBot="1">
      <c r="A809" s="337">
        <v>2319</v>
      </c>
      <c r="B809" s="1235" t="s">
        <v>923</v>
      </c>
      <c r="C809" s="1201"/>
    </row>
    <row r="810" spans="1:3" ht="13.5" thickBot="1">
      <c r="A810" s="337">
        <v>2320</v>
      </c>
      <c r="B810" s="1235" t="s">
        <v>924</v>
      </c>
      <c r="C810" s="1201"/>
    </row>
    <row r="811" spans="1:3" ht="13.5" thickBot="1">
      <c r="A811" s="337">
        <v>2321</v>
      </c>
      <c r="B811" s="1235" t="s">
        <v>925</v>
      </c>
      <c r="C811" s="1201"/>
    </row>
    <row r="812" spans="1:3" ht="13.5" thickBot="1">
      <c r="A812" s="337">
        <v>2322</v>
      </c>
      <c r="B812" s="1235" t="s">
        <v>926</v>
      </c>
      <c r="C812" s="1201"/>
    </row>
    <row r="813" spans="1:3" ht="13.5" thickBot="1">
      <c r="A813" s="337">
        <v>2323</v>
      </c>
      <c r="B813" s="1235" t="s">
        <v>927</v>
      </c>
      <c r="C813" s="1201"/>
    </row>
    <row r="814" spans="1:3" ht="13.5" thickBot="1">
      <c r="A814" s="337">
        <v>2324</v>
      </c>
      <c r="B814" s="1235" t="s">
        <v>928</v>
      </c>
      <c r="C814" s="1201"/>
    </row>
    <row r="815" spans="1:3" ht="13.5" thickBot="1">
      <c r="A815" s="337">
        <v>2325</v>
      </c>
      <c r="B815" s="1235" t="s">
        <v>929</v>
      </c>
      <c r="C815" s="1201"/>
    </row>
    <row r="816" spans="1:3" ht="13.5" thickBot="1">
      <c r="A816" s="337">
        <v>2326</v>
      </c>
      <c r="B816" s="1235" t="s">
        <v>930</v>
      </c>
      <c r="C816" s="1201"/>
    </row>
    <row r="817" spans="1:3" ht="13.5" thickBot="1">
      <c r="A817" s="337">
        <v>2327</v>
      </c>
      <c r="B817" s="1235" t="s">
        <v>931</v>
      </c>
      <c r="C817" s="1201"/>
    </row>
    <row r="818" spans="1:3" ht="13.5" thickBot="1">
      <c r="A818" s="337">
        <v>2328</v>
      </c>
      <c r="B818" s="1235" t="s">
        <v>932</v>
      </c>
      <c r="C818" s="1201"/>
    </row>
    <row r="819" spans="1:3" ht="13.5" thickBot="1">
      <c r="A819" s="337">
        <v>2329</v>
      </c>
      <c r="B819" s="1235" t="s">
        <v>933</v>
      </c>
      <c r="C819" s="1201"/>
    </row>
    <row r="820" spans="1:3" ht="13.5" thickBot="1">
      <c r="A820" s="337">
        <v>2330</v>
      </c>
      <c r="B820" s="1235" t="s">
        <v>934</v>
      </c>
      <c r="C820" s="1201"/>
    </row>
    <row r="821" spans="1:3" ht="13.5" thickBot="1">
      <c r="A821" s="337">
        <v>2331</v>
      </c>
      <c r="B821" s="1235" t="s">
        <v>935</v>
      </c>
      <c r="C821" s="1201"/>
    </row>
    <row r="822" spans="1:3" ht="13.5" thickBot="1">
      <c r="A822" s="337">
        <v>2332</v>
      </c>
      <c r="B822" s="1236" t="s">
        <v>936</v>
      </c>
      <c r="C822" s="1201"/>
    </row>
    <row r="823" spans="1:3" ht="13.5" thickBot="1">
      <c r="A823" s="337">
        <v>2333</v>
      </c>
      <c r="B823" s="1235" t="s">
        <v>937</v>
      </c>
      <c r="C823" s="1201"/>
    </row>
    <row r="824" spans="1:3" ht="13.5" thickBot="1">
      <c r="A824" s="337">
        <v>2334</v>
      </c>
      <c r="B824" s="1235" t="s">
        <v>938</v>
      </c>
      <c r="C824" s="1201"/>
    </row>
    <row r="825" spans="1:3" ht="13.5" thickBot="1">
      <c r="A825" s="337">
        <v>2335</v>
      </c>
      <c r="B825" s="1236" t="s">
        <v>939</v>
      </c>
      <c r="C825" s="1201"/>
    </row>
    <row r="826" spans="1:3" ht="13.5" thickBot="1">
      <c r="A826" s="337">
        <v>2336</v>
      </c>
      <c r="B826" s="1236" t="s">
        <v>940</v>
      </c>
      <c r="C826" s="1201"/>
    </row>
    <row r="827" spans="1:3" ht="13.5" thickBot="1">
      <c r="A827" s="337">
        <v>2337</v>
      </c>
      <c r="B827" s="1236" t="s">
        <v>941</v>
      </c>
      <c r="C827" s="1201"/>
    </row>
    <row r="828" spans="1:3" ht="13.5" thickBot="1">
      <c r="A828" s="337">
        <v>2338</v>
      </c>
      <c r="B828" s="1236" t="s">
        <v>942</v>
      </c>
      <c r="C828" s="1201"/>
    </row>
    <row r="829" spans="1:3" ht="13.5" thickBot="1">
      <c r="A829" s="337">
        <v>2339</v>
      </c>
      <c r="B829" s="1235" t="s">
        <v>943</v>
      </c>
      <c r="C829" s="1201"/>
    </row>
    <row r="830" spans="1:3" ht="13.5" thickBot="1">
      <c r="A830" s="337">
        <v>2340</v>
      </c>
      <c r="B830" s="1235" t="s">
        <v>944</v>
      </c>
      <c r="C830" s="1201"/>
    </row>
    <row r="831" spans="1:3" ht="13.5" thickBot="1">
      <c r="A831" s="337">
        <v>2341</v>
      </c>
      <c r="B831" s="1235" t="s">
        <v>945</v>
      </c>
      <c r="C831" s="1201"/>
    </row>
    <row r="832" spans="1:3" ht="13.5" thickBot="1">
      <c r="A832" s="337">
        <v>2342</v>
      </c>
      <c r="B832" s="1235" t="s">
        <v>946</v>
      </c>
      <c r="C832" s="1201"/>
    </row>
    <row r="833" spans="1:3" ht="13.5" thickBot="1">
      <c r="A833" s="337">
        <v>2343</v>
      </c>
      <c r="B833" s="1235" t="s">
        <v>947</v>
      </c>
      <c r="C833" s="1201"/>
    </row>
    <row r="834" spans="1:3" ht="13.5" thickBot="1">
      <c r="A834" s="337">
        <v>2344</v>
      </c>
      <c r="B834" s="1237" t="s">
        <v>948</v>
      </c>
      <c r="C834" s="1201"/>
    </row>
    <row r="835" spans="1:3" ht="26.25">
      <c r="A835" s="337">
        <v>2345</v>
      </c>
      <c r="B835" s="885" t="s">
        <v>949</v>
      </c>
      <c r="C835" s="1201"/>
    </row>
    <row r="836" spans="1:3" ht="26.25">
      <c r="A836" s="337">
        <v>2346</v>
      </c>
      <c r="B836" s="885" t="s">
        <v>950</v>
      </c>
      <c r="C836" s="1201"/>
    </row>
    <row r="837" spans="1:3" ht="26.25">
      <c r="A837" s="337">
        <v>2347</v>
      </c>
      <c r="B837" s="885" t="s">
        <v>951</v>
      </c>
      <c r="C837" s="1201"/>
    </row>
    <row r="838" spans="1:3">
      <c r="A838" s="337">
        <v>2348</v>
      </c>
      <c r="B838" s="65" t="s">
        <v>952</v>
      </c>
      <c r="C838" s="1201"/>
    </row>
    <row r="839" spans="1:3">
      <c r="A839" s="337">
        <v>2349</v>
      </c>
      <c r="B839" s="1238" t="s">
        <v>953</v>
      </c>
      <c r="C839" s="1201"/>
    </row>
    <row r="840" spans="1:3">
      <c r="A840" s="337">
        <v>2350</v>
      </c>
      <c r="B840" s="1238" t="s">
        <v>954</v>
      </c>
      <c r="C840" s="1201"/>
    </row>
    <row r="841" spans="1:3">
      <c r="A841" s="337">
        <v>2351</v>
      </c>
      <c r="B841" s="1238" t="s">
        <v>955</v>
      </c>
      <c r="C841" s="1201"/>
    </row>
    <row r="842" spans="1:3">
      <c r="A842" s="337">
        <v>2352</v>
      </c>
      <c r="B842" s="1238" t="s">
        <v>956</v>
      </c>
      <c r="C842" s="1201"/>
    </row>
    <row r="843" spans="1:3">
      <c r="A843" s="337">
        <v>2353</v>
      </c>
      <c r="B843" s="1238" t="s">
        <v>957</v>
      </c>
      <c r="C843" s="1201"/>
    </row>
    <row r="844" spans="1:3">
      <c r="A844" s="337">
        <v>2354</v>
      </c>
      <c r="B844" s="335" t="s">
        <v>958</v>
      </c>
      <c r="C844" s="1201"/>
    </row>
    <row r="845" spans="1:3">
      <c r="A845" s="337">
        <v>2355</v>
      </c>
      <c r="B845" s="335" t="s">
        <v>959</v>
      </c>
      <c r="C845" s="1201"/>
    </row>
    <row r="846" spans="1:3">
      <c r="A846" s="337">
        <v>2356</v>
      </c>
      <c r="B846" s="335" t="s">
        <v>325</v>
      </c>
      <c r="C846" s="1201"/>
    </row>
    <row r="847" spans="1:3">
      <c r="A847" s="337">
        <v>2357</v>
      </c>
      <c r="B847" s="335" t="s">
        <v>960</v>
      </c>
      <c r="C847" s="1201"/>
    </row>
    <row r="848" spans="1:3">
      <c r="A848" s="337">
        <v>2358</v>
      </c>
      <c r="B848" s="65" t="s">
        <v>961</v>
      </c>
      <c r="C848" s="1201"/>
    </row>
    <row r="849" spans="1:3">
      <c r="A849" s="337">
        <v>2359</v>
      </c>
      <c r="B849" s="65" t="s">
        <v>962</v>
      </c>
      <c r="C849" s="1201"/>
    </row>
    <row r="850" spans="1:3">
      <c r="A850" s="337">
        <v>2360</v>
      </c>
      <c r="B850" s="65" t="s">
        <v>963</v>
      </c>
      <c r="C850" s="1201"/>
    </row>
    <row r="851" spans="1:3">
      <c r="A851" s="337">
        <v>2361</v>
      </c>
      <c r="B851" s="65" t="s">
        <v>964</v>
      </c>
      <c r="C851" s="1201"/>
    </row>
    <row r="852" spans="1:3">
      <c r="A852" s="337">
        <v>2362</v>
      </c>
      <c r="B852" s="65" t="s">
        <v>965</v>
      </c>
      <c r="C852" s="1201"/>
    </row>
    <row r="853" spans="1:3">
      <c r="A853" s="337">
        <v>2363</v>
      </c>
      <c r="B853" s="65" t="s">
        <v>966</v>
      </c>
      <c r="C853" s="1201"/>
    </row>
    <row r="854" spans="1:3">
      <c r="A854" s="337">
        <v>2364</v>
      </c>
      <c r="B854" s="65" t="s">
        <v>967</v>
      </c>
      <c r="C854" s="1201"/>
    </row>
    <row r="855" spans="1:3">
      <c r="A855" s="337">
        <v>2365</v>
      </c>
      <c r="B855" s="65" t="s">
        <v>968</v>
      </c>
      <c r="C855" s="1201"/>
    </row>
    <row r="856" spans="1:3">
      <c r="A856" s="337">
        <v>2366</v>
      </c>
      <c r="B856" s="65" t="s">
        <v>969</v>
      </c>
      <c r="C856" s="1201"/>
    </row>
    <row r="857" spans="1:3">
      <c r="A857" s="337">
        <v>2367</v>
      </c>
      <c r="B857" s="65" t="s">
        <v>970</v>
      </c>
      <c r="C857" s="1201"/>
    </row>
    <row r="858" spans="1:3">
      <c r="A858" s="337">
        <v>2368</v>
      </c>
      <c r="B858" s="1239" t="s">
        <v>971</v>
      </c>
      <c r="C858" s="1201"/>
    </row>
    <row r="859" spans="1:3">
      <c r="A859" s="337">
        <v>2369</v>
      </c>
      <c r="B859" s="85" t="s">
        <v>972</v>
      </c>
      <c r="C859" s="1201"/>
    </row>
    <row r="860" spans="1:3">
      <c r="A860" s="337">
        <v>2370</v>
      </c>
      <c r="B860" s="85" t="s">
        <v>973</v>
      </c>
      <c r="C860" s="1201"/>
    </row>
    <row r="861" spans="1:3">
      <c r="A861" s="337">
        <v>2371</v>
      </c>
      <c r="B861" s="85" t="s">
        <v>974</v>
      </c>
      <c r="C861" s="1201"/>
    </row>
    <row r="862" spans="1:3">
      <c r="A862" s="337">
        <v>2372</v>
      </c>
      <c r="B862" s="85" t="s">
        <v>975</v>
      </c>
      <c r="C862" s="1201"/>
    </row>
    <row r="863" spans="1:3">
      <c r="A863" s="337">
        <v>2373</v>
      </c>
      <c r="B863" s="65" t="s">
        <v>976</v>
      </c>
      <c r="C863" s="1201"/>
    </row>
    <row r="864" spans="1:3">
      <c r="A864" s="337">
        <v>2374</v>
      </c>
      <c r="B864" s="65" t="s">
        <v>977</v>
      </c>
      <c r="C864" s="1201"/>
    </row>
    <row r="865" spans="1:3">
      <c r="A865" s="337">
        <v>2375</v>
      </c>
      <c r="B865" s="65" t="s">
        <v>978</v>
      </c>
      <c r="C865" s="1201"/>
    </row>
    <row r="866" spans="1:3">
      <c r="A866" s="337">
        <v>2376</v>
      </c>
      <c r="B866" s="65" t="s">
        <v>979</v>
      </c>
      <c r="C866" s="1201"/>
    </row>
    <row r="867" spans="1:3">
      <c r="A867" s="337">
        <v>2377</v>
      </c>
      <c r="B867" s="65" t="s">
        <v>980</v>
      </c>
      <c r="C867" s="1201"/>
    </row>
    <row r="868" spans="1:3">
      <c r="A868" s="337">
        <v>2378</v>
      </c>
      <c r="B868" s="57" t="s">
        <v>981</v>
      </c>
      <c r="C868" s="1201"/>
    </row>
    <row r="869" spans="1:3">
      <c r="A869" s="337">
        <v>2379</v>
      </c>
      <c r="B869" s="1240" t="s">
        <v>982</v>
      </c>
      <c r="C869" s="1201"/>
    </row>
    <row r="870" spans="1:3">
      <c r="A870" s="337">
        <v>2380</v>
      </c>
      <c r="B870" s="1240" t="s">
        <v>983</v>
      </c>
      <c r="C870" s="1201"/>
    </row>
    <row r="871" spans="1:3">
      <c r="A871" s="337">
        <v>2381</v>
      </c>
      <c r="B871" s="1240" t="s">
        <v>984</v>
      </c>
      <c r="C871" s="1201"/>
    </row>
    <row r="872" spans="1:3">
      <c r="A872" s="337">
        <v>2382</v>
      </c>
      <c r="B872" s="1240" t="s">
        <v>985</v>
      </c>
      <c r="C872" s="1201"/>
    </row>
    <row r="873" spans="1:3">
      <c r="A873" s="337">
        <v>2383</v>
      </c>
      <c r="B873" s="1240" t="s">
        <v>986</v>
      </c>
      <c r="C873" s="1201"/>
    </row>
    <row r="874" spans="1:3">
      <c r="A874" s="337">
        <v>2384</v>
      </c>
      <c r="B874" s="1240" t="s">
        <v>987</v>
      </c>
      <c r="C874" s="1201"/>
    </row>
    <row r="875" spans="1:3">
      <c r="A875" s="337">
        <v>2385</v>
      </c>
      <c r="B875" s="1240" t="s">
        <v>988</v>
      </c>
      <c r="C875" s="1201"/>
    </row>
    <row r="876" spans="1:3">
      <c r="A876" s="337">
        <v>2386</v>
      </c>
      <c r="B876" s="1240" t="s">
        <v>989</v>
      </c>
      <c r="C876" s="1201"/>
    </row>
    <row r="877" spans="1:3">
      <c r="A877" s="337">
        <v>2387</v>
      </c>
      <c r="B877" s="1240" t="s">
        <v>990</v>
      </c>
      <c r="C877" s="1201"/>
    </row>
    <row r="878" spans="1:3">
      <c r="A878" s="337">
        <v>2388</v>
      </c>
      <c r="B878" s="1240" t="s">
        <v>991</v>
      </c>
      <c r="C878" s="1201"/>
    </row>
    <row r="879" spans="1:3">
      <c r="A879" s="337">
        <v>2389</v>
      </c>
      <c r="B879" s="1240" t="s">
        <v>992</v>
      </c>
      <c r="C879" s="1201"/>
    </row>
    <row r="880" spans="1:3">
      <c r="A880" s="337">
        <v>2390</v>
      </c>
      <c r="B880" s="1240" t="s">
        <v>993</v>
      </c>
      <c r="C880" s="1201"/>
    </row>
    <row r="881" spans="1:3">
      <c r="A881" s="337">
        <v>2391</v>
      </c>
      <c r="B881" s="1240" t="s">
        <v>994</v>
      </c>
      <c r="C881" s="1201"/>
    </row>
    <row r="882" spans="1:3">
      <c r="A882" s="337">
        <v>2392</v>
      </c>
      <c r="B882" s="1240" t="s">
        <v>995</v>
      </c>
      <c r="C882" s="1201"/>
    </row>
    <row r="883" spans="1:3">
      <c r="A883" s="337">
        <v>2393</v>
      </c>
      <c r="B883" s="1240" t="s">
        <v>996</v>
      </c>
      <c r="C883" s="1201"/>
    </row>
    <row r="884" spans="1:3">
      <c r="A884" s="337">
        <v>2394</v>
      </c>
      <c r="B884" s="1240" t="s">
        <v>997</v>
      </c>
      <c r="C884" s="1201"/>
    </row>
    <row r="885" spans="1:3">
      <c r="A885" s="337">
        <v>2395</v>
      </c>
      <c r="B885" s="1240" t="s">
        <v>998</v>
      </c>
      <c r="C885" s="1201"/>
    </row>
    <row r="886" spans="1:3">
      <c r="A886" s="337">
        <v>2396</v>
      </c>
      <c r="B886" s="1240" t="s">
        <v>999</v>
      </c>
      <c r="C886" s="1201"/>
    </row>
    <row r="887" spans="1:3">
      <c r="A887" s="337">
        <v>2397</v>
      </c>
      <c r="B887" s="1240" t="s">
        <v>1000</v>
      </c>
      <c r="C887" s="1201"/>
    </row>
    <row r="888" spans="1:3">
      <c r="A888" s="337">
        <v>2398</v>
      </c>
      <c r="B888" s="1240" t="s">
        <v>1001</v>
      </c>
      <c r="C888" s="1201"/>
    </row>
    <row r="889" spans="1:3">
      <c r="A889" s="337">
        <v>2399</v>
      </c>
      <c r="B889" s="1240" t="s">
        <v>1002</v>
      </c>
      <c r="C889" s="1201"/>
    </row>
    <row r="890" spans="1:3">
      <c r="A890" s="337">
        <v>2400</v>
      </c>
      <c r="B890" s="1240" t="s">
        <v>1003</v>
      </c>
      <c r="C890" s="1201"/>
    </row>
    <row r="891" spans="1:3">
      <c r="A891" s="337">
        <v>2401</v>
      </c>
      <c r="B891" s="1240" t="s">
        <v>1004</v>
      </c>
      <c r="C891" s="1201"/>
    </row>
    <row r="892" spans="1:3">
      <c r="A892" s="337">
        <v>2402</v>
      </c>
      <c r="B892" s="1240" t="s">
        <v>1005</v>
      </c>
      <c r="C892" s="1201"/>
    </row>
    <row r="893" spans="1:3">
      <c r="A893" s="337">
        <v>2403</v>
      </c>
      <c r="B893" s="1240" t="s">
        <v>1006</v>
      </c>
      <c r="C893" s="1201"/>
    </row>
    <row r="894" spans="1:3">
      <c r="A894" s="337">
        <v>2404</v>
      </c>
      <c r="B894" s="1240" t="s">
        <v>1007</v>
      </c>
      <c r="C894" s="1201"/>
    </row>
    <row r="895" spans="1:3">
      <c r="A895" s="337">
        <v>2405</v>
      </c>
      <c r="B895" s="1240" t="s">
        <v>1008</v>
      </c>
      <c r="C895" s="1201"/>
    </row>
    <row r="896" spans="1:3">
      <c r="A896" s="337">
        <v>2406</v>
      </c>
      <c r="B896" s="1240" t="s">
        <v>1009</v>
      </c>
      <c r="C896" s="1201"/>
    </row>
    <row r="897" spans="1:3">
      <c r="A897" s="337">
        <v>2407</v>
      </c>
      <c r="B897" s="1240" t="s">
        <v>1010</v>
      </c>
      <c r="C897" s="1201"/>
    </row>
    <row r="898" spans="1:3">
      <c r="A898" s="337">
        <v>2408</v>
      </c>
      <c r="B898" s="1240" t="s">
        <v>1011</v>
      </c>
      <c r="C898" s="1201"/>
    </row>
    <row r="899" spans="1:3">
      <c r="A899" s="337">
        <v>2409</v>
      </c>
      <c r="B899" s="1240" t="s">
        <v>1012</v>
      </c>
      <c r="C899" s="1201"/>
    </row>
    <row r="900" spans="1:3">
      <c r="A900" s="337">
        <v>2410</v>
      </c>
      <c r="B900" s="1240" t="s">
        <v>1013</v>
      </c>
      <c r="C900" s="1201"/>
    </row>
    <row r="901" spans="1:3">
      <c r="A901" s="337">
        <v>2411</v>
      </c>
      <c r="B901" s="1240" t="s">
        <v>1014</v>
      </c>
      <c r="C901" s="1201"/>
    </row>
    <row r="902" spans="1:3">
      <c r="A902" s="337">
        <v>2412</v>
      </c>
      <c r="B902" s="1240" t="s">
        <v>1015</v>
      </c>
      <c r="C902" s="1201"/>
    </row>
    <row r="903" spans="1:3">
      <c r="A903" s="337">
        <v>2413</v>
      </c>
      <c r="B903" s="1240" t="s">
        <v>1016</v>
      </c>
      <c r="C903" s="1201"/>
    </row>
    <row r="904" spans="1:3" ht="13.5" thickBot="1">
      <c r="A904" s="337">
        <v>2414</v>
      </c>
      <c r="B904" s="1241" t="s">
        <v>1017</v>
      </c>
      <c r="C904" s="1201"/>
    </row>
    <row r="905" spans="1:3">
      <c r="A905" s="337">
        <v>2415</v>
      </c>
      <c r="B905" s="1240" t="s">
        <v>1018</v>
      </c>
      <c r="C905" s="1201"/>
    </row>
    <row r="906" spans="1:3" ht="13.5" thickBot="1">
      <c r="A906" s="337">
        <v>2416</v>
      </c>
      <c r="B906" s="1241" t="s">
        <v>1019</v>
      </c>
      <c r="C906" s="1201"/>
    </row>
    <row r="907" spans="1:3">
      <c r="A907" s="337">
        <v>2417</v>
      </c>
      <c r="B907" s="1242" t="s">
        <v>1020</v>
      </c>
      <c r="C907" s="1201"/>
    </row>
    <row r="908" spans="1:3">
      <c r="A908" s="337">
        <v>2418</v>
      </c>
      <c r="B908" s="1242" t="s">
        <v>1021</v>
      </c>
      <c r="C908" s="1201"/>
    </row>
    <row r="909" spans="1:3">
      <c r="A909" s="337">
        <v>2419</v>
      </c>
      <c r="B909" s="1242" t="s">
        <v>1272</v>
      </c>
      <c r="C909" s="1201"/>
    </row>
    <row r="910" spans="1:3" ht="13.5" thickBot="1">
      <c r="A910" s="337">
        <v>2420</v>
      </c>
      <c r="B910" s="1242" t="s">
        <v>1022</v>
      </c>
      <c r="C910" s="1201"/>
    </row>
    <row r="911" spans="1:3" ht="13.5" thickBot="1">
      <c r="A911" s="337">
        <v>2421</v>
      </c>
      <c r="B911" s="1243" t="s">
        <v>777</v>
      </c>
      <c r="C911" s="1201"/>
    </row>
    <row r="912" spans="1:3">
      <c r="A912" s="337">
        <v>2422</v>
      </c>
      <c r="B912" s="1243" t="s">
        <v>1023</v>
      </c>
      <c r="C912" s="1201"/>
    </row>
    <row r="913" spans="1:3">
      <c r="A913" s="337">
        <v>2423</v>
      </c>
      <c r="B913" s="1244" t="s">
        <v>1024</v>
      </c>
      <c r="C913" s="1201"/>
    </row>
    <row r="914" spans="1:3">
      <c r="A914" s="337">
        <v>2424</v>
      </c>
      <c r="B914" s="1244" t="s">
        <v>1025</v>
      </c>
      <c r="C914" s="1201"/>
    </row>
    <row r="915" spans="1:3">
      <c r="A915" s="337">
        <v>2425</v>
      </c>
      <c r="B915" s="1244" t="s">
        <v>1026</v>
      </c>
      <c r="C915" s="1201"/>
    </row>
    <row r="916" spans="1:3">
      <c r="A916" s="337">
        <v>2426</v>
      </c>
      <c r="B916" s="1244" t="s">
        <v>1027</v>
      </c>
      <c r="C916" s="1201"/>
    </row>
    <row r="917" spans="1:3">
      <c r="A917" s="337">
        <v>2427</v>
      </c>
      <c r="B917" s="1244" t="s">
        <v>1028</v>
      </c>
      <c r="C917" s="1201"/>
    </row>
    <row r="918" spans="1:3">
      <c r="A918" s="337">
        <v>2428</v>
      </c>
      <c r="B918" s="1244" t="s">
        <v>1029</v>
      </c>
      <c r="C918" s="1201"/>
    </row>
    <row r="919" spans="1:3">
      <c r="A919" s="337">
        <v>2429</v>
      </c>
      <c r="B919" s="108" t="s">
        <v>1030</v>
      </c>
      <c r="C919" s="1201"/>
    </row>
    <row r="920" spans="1:3" ht="13.5" thickBot="1">
      <c r="A920" s="337">
        <v>2430</v>
      </c>
      <c r="B920" s="109" t="s">
        <v>1031</v>
      </c>
      <c r="C920" s="1201"/>
    </row>
    <row r="921" spans="1:3">
      <c r="A921" s="337">
        <v>2431</v>
      </c>
      <c r="B921" s="1243" t="s">
        <v>1032</v>
      </c>
      <c r="C921" s="1201"/>
    </row>
    <row r="922" spans="1:3" ht="13.5" thickBot="1">
      <c r="A922" s="337">
        <v>2432</v>
      </c>
      <c r="B922" s="108" t="s">
        <v>1033</v>
      </c>
      <c r="C922" s="1201"/>
    </row>
    <row r="923" spans="1:3">
      <c r="A923" s="337">
        <v>2433</v>
      </c>
      <c r="B923" s="1245" t="s">
        <v>1034</v>
      </c>
      <c r="C923" s="1201"/>
    </row>
    <row r="924" spans="1:3">
      <c r="A924" s="337">
        <v>2434</v>
      </c>
      <c r="B924" s="1246" t="s">
        <v>1035</v>
      </c>
      <c r="C924" s="1201"/>
    </row>
    <row r="925" spans="1:3">
      <c r="A925" s="337">
        <v>2435</v>
      </c>
      <c r="B925" s="1246" t="s">
        <v>1036</v>
      </c>
      <c r="C925" s="1201"/>
    </row>
    <row r="926" spans="1:3">
      <c r="A926" s="337">
        <v>2436</v>
      </c>
      <c r="B926" s="1246" t="s">
        <v>1037</v>
      </c>
      <c r="C926" s="1201"/>
    </row>
    <row r="927" spans="1:3">
      <c r="A927" s="337">
        <v>2437</v>
      </c>
      <c r="B927" s="1246" t="s">
        <v>1038</v>
      </c>
      <c r="C927" s="1201"/>
    </row>
    <row r="928" spans="1:3">
      <c r="A928" s="337">
        <v>2438</v>
      </c>
      <c r="B928" s="1246" t="s">
        <v>1228</v>
      </c>
      <c r="C928" s="1201"/>
    </row>
    <row r="929" spans="1:3">
      <c r="A929" s="337">
        <v>2439</v>
      </c>
      <c r="B929" s="1246" t="s">
        <v>1039</v>
      </c>
      <c r="C929" s="1201"/>
    </row>
    <row r="930" spans="1:3">
      <c r="A930" s="337">
        <v>2440</v>
      </c>
      <c r="B930" s="1246" t="s">
        <v>1229</v>
      </c>
      <c r="C930" s="1201"/>
    </row>
    <row r="931" spans="1:3">
      <c r="A931" s="337">
        <v>2441</v>
      </c>
      <c r="B931" s="1246" t="s">
        <v>1040</v>
      </c>
      <c r="C931" s="1201"/>
    </row>
    <row r="932" spans="1:3">
      <c r="A932" s="337">
        <v>2442</v>
      </c>
      <c r="B932" s="1246" t="s">
        <v>1041</v>
      </c>
      <c r="C932" s="1201"/>
    </row>
    <row r="933" spans="1:3">
      <c r="A933" s="337">
        <v>2443</v>
      </c>
      <c r="B933" s="1246" t="s">
        <v>1042</v>
      </c>
      <c r="C933" s="1201"/>
    </row>
    <row r="934" spans="1:3">
      <c r="A934" s="337">
        <v>2444</v>
      </c>
      <c r="B934" s="1246" t="s">
        <v>1043</v>
      </c>
      <c r="C934" s="1201"/>
    </row>
    <row r="935" spans="1:3">
      <c r="A935" s="337">
        <v>2445</v>
      </c>
      <c r="B935" s="1246" t="s">
        <v>1230</v>
      </c>
      <c r="C935" s="1201"/>
    </row>
    <row r="936" spans="1:3">
      <c r="A936" s="337">
        <v>2446</v>
      </c>
      <c r="B936" s="1246" t="s">
        <v>1231</v>
      </c>
      <c r="C936" s="1201"/>
    </row>
    <row r="937" spans="1:3">
      <c r="A937" s="337">
        <v>2447</v>
      </c>
      <c r="B937" s="1246" t="s">
        <v>1232</v>
      </c>
      <c r="C937" s="1201"/>
    </row>
    <row r="938" spans="1:3">
      <c r="A938" s="337">
        <v>2448</v>
      </c>
      <c r="B938" s="1246" t="s">
        <v>1044</v>
      </c>
      <c r="C938" s="1201"/>
    </row>
    <row r="939" spans="1:3">
      <c r="A939" s="337">
        <v>2449</v>
      </c>
      <c r="B939" s="1246" t="s">
        <v>1045</v>
      </c>
      <c r="C939" s="1201"/>
    </row>
    <row r="940" spans="1:3">
      <c r="A940" s="337">
        <v>2450</v>
      </c>
      <c r="B940" s="1246" t="s">
        <v>1046</v>
      </c>
      <c r="C940" s="1201"/>
    </row>
    <row r="941" spans="1:3">
      <c r="A941" s="337">
        <v>2451</v>
      </c>
      <c r="B941" s="1246" t="s">
        <v>1047</v>
      </c>
      <c r="C941" s="1201"/>
    </row>
    <row r="942" spans="1:3">
      <c r="A942" s="337">
        <v>2452</v>
      </c>
      <c r="B942" s="1246" t="s">
        <v>1048</v>
      </c>
      <c r="C942" s="1201"/>
    </row>
    <row r="943" spans="1:3">
      <c r="A943" s="337">
        <v>2453</v>
      </c>
      <c r="B943" s="1246" t="s">
        <v>1049</v>
      </c>
      <c r="C943" s="1201"/>
    </row>
    <row r="944" spans="1:3">
      <c r="A944" s="337">
        <v>2454</v>
      </c>
      <c r="B944" s="1246" t="s">
        <v>1050</v>
      </c>
      <c r="C944" s="1201"/>
    </row>
    <row r="945" spans="1:3">
      <c r="A945" s="337">
        <v>2455</v>
      </c>
      <c r="B945" s="1246" t="s">
        <v>1051</v>
      </c>
      <c r="C945" s="1201"/>
    </row>
    <row r="946" spans="1:3">
      <c r="A946" s="337">
        <v>2456</v>
      </c>
      <c r="B946" s="1246" t="s">
        <v>1233</v>
      </c>
      <c r="C946" s="1201"/>
    </row>
    <row r="947" spans="1:3">
      <c r="A947" s="337">
        <v>2457</v>
      </c>
      <c r="B947" s="1246" t="s">
        <v>1234</v>
      </c>
      <c r="C947" s="1201"/>
    </row>
    <row r="948" spans="1:3">
      <c r="A948" s="337">
        <v>2458</v>
      </c>
      <c r="B948" s="1246" t="s">
        <v>1235</v>
      </c>
      <c r="C948" s="1201"/>
    </row>
    <row r="949" spans="1:3">
      <c r="A949" s="337">
        <v>2459</v>
      </c>
      <c r="B949" s="1246" t="s">
        <v>1236</v>
      </c>
      <c r="C949" s="1201"/>
    </row>
    <row r="950" spans="1:3">
      <c r="A950" s="337">
        <v>2460</v>
      </c>
      <c r="B950" s="1246" t="s">
        <v>1237</v>
      </c>
      <c r="C950" s="1201"/>
    </row>
    <row r="951" spans="1:3">
      <c r="A951" s="337">
        <v>2461</v>
      </c>
      <c r="B951" s="1246" t="s">
        <v>1238</v>
      </c>
      <c r="C951" s="1201"/>
    </row>
    <row r="952" spans="1:3">
      <c r="A952" s="337">
        <v>2462</v>
      </c>
      <c r="B952" s="1246" t="s">
        <v>1239</v>
      </c>
      <c r="C952" s="1201"/>
    </row>
    <row r="953" spans="1:3">
      <c r="A953" s="337">
        <v>2463</v>
      </c>
      <c r="B953" s="1246" t="s">
        <v>1240</v>
      </c>
      <c r="C953" s="1201"/>
    </row>
    <row r="954" spans="1:3">
      <c r="A954" s="337">
        <v>2464</v>
      </c>
      <c r="B954" s="1246" t="s">
        <v>1241</v>
      </c>
      <c r="C954" s="1201"/>
    </row>
    <row r="955" spans="1:3">
      <c r="A955" s="337">
        <v>2465</v>
      </c>
      <c r="B955" s="1246" t="s">
        <v>1242</v>
      </c>
      <c r="C955" s="1201"/>
    </row>
    <row r="956" spans="1:3">
      <c r="A956" s="337">
        <v>2466</v>
      </c>
      <c r="B956" s="1246" t="s">
        <v>1243</v>
      </c>
      <c r="C956" s="1201"/>
    </row>
    <row r="957" spans="1:3">
      <c r="A957" s="337">
        <v>2467</v>
      </c>
      <c r="B957" s="1246" t="s">
        <v>1244</v>
      </c>
      <c r="C957" s="1201"/>
    </row>
    <row r="958" spans="1:3">
      <c r="A958" s="337">
        <v>2468</v>
      </c>
      <c r="B958" s="1246" t="s">
        <v>1245</v>
      </c>
      <c r="C958" s="1201"/>
    </row>
    <row r="959" spans="1:3">
      <c r="A959" s="337">
        <v>2469</v>
      </c>
      <c r="B959" s="1246" t="s">
        <v>1246</v>
      </c>
      <c r="C959" s="1201"/>
    </row>
    <row r="960" spans="1:3">
      <c r="A960" s="337">
        <v>2470</v>
      </c>
      <c r="B960" s="1246" t="s">
        <v>1247</v>
      </c>
      <c r="C960" s="1201"/>
    </row>
    <row r="961" spans="1:3">
      <c r="A961" s="337">
        <v>2471</v>
      </c>
      <c r="B961" s="1246" t="s">
        <v>1248</v>
      </c>
      <c r="C961" s="1201"/>
    </row>
    <row r="962" spans="1:3">
      <c r="A962" s="337">
        <v>2472</v>
      </c>
      <c r="B962" s="1246" t="s">
        <v>1249</v>
      </c>
      <c r="C962" s="1201"/>
    </row>
    <row r="963" spans="1:3">
      <c r="A963" s="337">
        <v>2473</v>
      </c>
      <c r="B963" s="1246" t="s">
        <v>1250</v>
      </c>
      <c r="C963" s="1201"/>
    </row>
    <row r="964" spans="1:3">
      <c r="A964" s="337">
        <v>2474</v>
      </c>
      <c r="B964" s="1246" t="s">
        <v>1251</v>
      </c>
      <c r="C964" s="1201"/>
    </row>
    <row r="965" spans="1:3">
      <c r="A965" s="337">
        <v>2475</v>
      </c>
      <c r="B965" s="1246" t="s">
        <v>1252</v>
      </c>
      <c r="C965" s="1201"/>
    </row>
    <row r="966" spans="1:3">
      <c r="A966" s="337">
        <v>2476</v>
      </c>
      <c r="B966" s="1246" t="s">
        <v>1253</v>
      </c>
      <c r="C966" s="1201"/>
    </row>
    <row r="967" spans="1:3">
      <c r="A967" s="337">
        <v>2477</v>
      </c>
      <c r="B967" s="1246" t="s">
        <v>1052</v>
      </c>
      <c r="C967" s="1201"/>
    </row>
    <row r="968" spans="1:3">
      <c r="A968" s="337">
        <v>2478</v>
      </c>
      <c r="B968" s="1246" t="s">
        <v>1254</v>
      </c>
      <c r="C968" s="1201"/>
    </row>
    <row r="969" spans="1:3">
      <c r="A969" s="337">
        <v>2479</v>
      </c>
      <c r="B969" s="1246" t="s">
        <v>1053</v>
      </c>
      <c r="C969" s="1201"/>
    </row>
    <row r="970" spans="1:3">
      <c r="A970" s="337">
        <v>2480</v>
      </c>
      <c r="B970" s="1246" t="s">
        <v>1255</v>
      </c>
      <c r="C970" s="1201"/>
    </row>
    <row r="971" spans="1:3">
      <c r="A971" s="337">
        <v>2481</v>
      </c>
      <c r="B971" s="1246" t="s">
        <v>1054</v>
      </c>
      <c r="C971" s="1201"/>
    </row>
    <row r="972" spans="1:3">
      <c r="A972" s="337">
        <v>2482</v>
      </c>
      <c r="B972" s="1246" t="s">
        <v>1055</v>
      </c>
      <c r="C972" s="1201"/>
    </row>
    <row r="973" spans="1:3">
      <c r="A973" s="337">
        <v>2483</v>
      </c>
      <c r="B973" s="1246" t="s">
        <v>1056</v>
      </c>
      <c r="C973" s="1201"/>
    </row>
    <row r="974" spans="1:3">
      <c r="A974" s="337">
        <v>2484</v>
      </c>
      <c r="B974" s="1246" t="s">
        <v>1256</v>
      </c>
      <c r="C974" s="1201"/>
    </row>
    <row r="975" spans="1:3">
      <c r="A975" s="337">
        <v>2485</v>
      </c>
      <c r="B975" s="1246" t="s">
        <v>1257</v>
      </c>
      <c r="C975" s="1201"/>
    </row>
    <row r="976" spans="1:3">
      <c r="A976" s="337">
        <v>2486</v>
      </c>
      <c r="B976" s="1246" t="s">
        <v>1258</v>
      </c>
      <c r="C976" s="1201"/>
    </row>
    <row r="977" spans="1:3">
      <c r="A977" s="337">
        <v>2487</v>
      </c>
      <c r="B977" s="1246" t="s">
        <v>1057</v>
      </c>
      <c r="C977" s="1201"/>
    </row>
    <row r="978" spans="1:3">
      <c r="A978" s="337">
        <v>2488</v>
      </c>
      <c r="B978" s="1246" t="s">
        <v>1058</v>
      </c>
      <c r="C978" s="1201"/>
    </row>
    <row r="979" spans="1:3">
      <c r="A979" s="337">
        <v>2489</v>
      </c>
      <c r="B979" s="1246" t="s">
        <v>1059</v>
      </c>
      <c r="C979" s="1201"/>
    </row>
    <row r="980" spans="1:3">
      <c r="A980" s="337">
        <v>2490</v>
      </c>
      <c r="B980" s="1247" t="s">
        <v>1259</v>
      </c>
      <c r="C980" s="1201"/>
    </row>
    <row r="981" spans="1:3">
      <c r="A981" s="337">
        <v>2491</v>
      </c>
      <c r="B981" s="1247" t="s">
        <v>1260</v>
      </c>
      <c r="C981" s="1201"/>
    </row>
    <row r="982" spans="1:3">
      <c r="A982" s="337">
        <v>2492</v>
      </c>
      <c r="B982" s="1246" t="s">
        <v>1060</v>
      </c>
      <c r="C982" s="1201"/>
    </row>
    <row r="983" spans="1:3">
      <c r="A983" s="337">
        <v>2493</v>
      </c>
      <c r="B983" s="1246" t="s">
        <v>1261</v>
      </c>
      <c r="C983" s="1201"/>
    </row>
    <row r="984" spans="1:3">
      <c r="A984" s="337">
        <v>2494</v>
      </c>
      <c r="B984" s="1246" t="s">
        <v>1061</v>
      </c>
      <c r="C984" s="1201"/>
    </row>
    <row r="985" spans="1:3">
      <c r="A985" s="337">
        <v>2495</v>
      </c>
      <c r="B985" s="1246" t="s">
        <v>1262</v>
      </c>
      <c r="C985" s="1201"/>
    </row>
    <row r="986" spans="1:3">
      <c r="A986" s="337">
        <v>2496</v>
      </c>
      <c r="B986" s="1246" t="s">
        <v>1263</v>
      </c>
      <c r="C986" s="1201"/>
    </row>
    <row r="987" spans="1:3" ht="13.5" thickBot="1">
      <c r="A987" s="337">
        <v>2497</v>
      </c>
      <c r="B987" s="1248" t="s">
        <v>1062</v>
      </c>
      <c r="C987" s="1201"/>
    </row>
    <row r="988" spans="1:3" ht="13.5" thickBot="1">
      <c r="A988" s="337">
        <v>2498</v>
      </c>
      <c r="B988" s="1019" t="s">
        <v>1063</v>
      </c>
      <c r="C988" s="1201"/>
    </row>
    <row r="989" spans="1:3" ht="13.5" thickBot="1">
      <c r="A989" s="337">
        <v>2499</v>
      </c>
      <c r="B989" s="1017" t="s">
        <v>1064</v>
      </c>
      <c r="C989" s="1201"/>
    </row>
    <row r="990" spans="1:3" ht="13.5" thickBot="1">
      <c r="A990" s="337">
        <v>2500</v>
      </c>
      <c r="B990" s="1017" t="s">
        <v>1065</v>
      </c>
      <c r="C990" s="1201"/>
    </row>
    <row r="991" spans="1:3" ht="13.5" thickBot="1">
      <c r="A991" s="337">
        <v>2501</v>
      </c>
      <c r="B991" s="1017" t="s">
        <v>1066</v>
      </c>
      <c r="C991" s="1201"/>
    </row>
    <row r="992" spans="1:3" ht="13.5" thickBot="1">
      <c r="A992" s="337">
        <v>2502</v>
      </c>
      <c r="B992" s="1017" t="s">
        <v>1067</v>
      </c>
      <c r="C992" s="1201"/>
    </row>
    <row r="993" spans="1:3" ht="13.5" thickBot="1">
      <c r="A993" s="337">
        <v>2503</v>
      </c>
      <c r="B993" s="1017" t="s">
        <v>1068</v>
      </c>
      <c r="C993" s="1201"/>
    </row>
    <row r="994" spans="1:3" ht="13.5" thickBot="1">
      <c r="A994" s="337">
        <v>2504</v>
      </c>
      <c r="B994" s="1017" t="s">
        <v>1069</v>
      </c>
      <c r="C994" s="1201"/>
    </row>
    <row r="995" spans="1:3" ht="13.5" thickBot="1">
      <c r="A995" s="337">
        <v>2505</v>
      </c>
      <c r="B995" s="1017" t="s">
        <v>1070</v>
      </c>
      <c r="C995" s="1201"/>
    </row>
    <row r="996" spans="1:3" ht="13.5" thickBot="1">
      <c r="A996" s="337">
        <v>2506</v>
      </c>
      <c r="B996" s="1017" t="s">
        <v>1071</v>
      </c>
      <c r="C996" s="1201"/>
    </row>
    <row r="997" spans="1:3" ht="13.5" thickBot="1">
      <c r="A997" s="337">
        <v>2507</v>
      </c>
      <c r="B997" s="1017" t="s">
        <v>1072</v>
      </c>
      <c r="C997" s="1201"/>
    </row>
    <row r="998" spans="1:3" ht="13.5" thickBot="1">
      <c r="A998" s="337">
        <v>2508</v>
      </c>
      <c r="B998" s="1017" t="s">
        <v>1073</v>
      </c>
      <c r="C998" s="1201"/>
    </row>
    <row r="999" spans="1:3" ht="13.5" thickBot="1">
      <c r="A999" s="337">
        <v>2509</v>
      </c>
      <c r="B999" s="1019" t="s">
        <v>1074</v>
      </c>
      <c r="C999" s="1201"/>
    </row>
    <row r="1000" spans="1:3" ht="13.5" thickBot="1">
      <c r="A1000" s="337">
        <v>2510</v>
      </c>
      <c r="B1000" s="1017" t="s">
        <v>1075</v>
      </c>
      <c r="C1000" s="1201"/>
    </row>
    <row r="1001" spans="1:3" ht="13.5" thickBot="1">
      <c r="A1001" s="337">
        <v>2511</v>
      </c>
      <c r="B1001" s="1017" t="s">
        <v>1076</v>
      </c>
      <c r="C1001" s="1201"/>
    </row>
    <row r="1002" spans="1:3" ht="13.5" thickBot="1">
      <c r="A1002" s="337">
        <v>2512</v>
      </c>
      <c r="B1002" s="1017" t="s">
        <v>1077</v>
      </c>
      <c r="C1002" s="1201"/>
    </row>
    <row r="1003" spans="1:3" ht="13.5" thickBot="1">
      <c r="A1003" s="337">
        <v>2513</v>
      </c>
      <c r="B1003" s="1017" t="s">
        <v>1078</v>
      </c>
      <c r="C1003" s="1201"/>
    </row>
    <row r="1004" spans="1:3" ht="13.5" thickBot="1">
      <c r="A1004" s="337">
        <v>2514</v>
      </c>
      <c r="B1004" s="1017" t="s">
        <v>1079</v>
      </c>
      <c r="C1004" s="1201"/>
    </row>
    <row r="1005" spans="1:3" ht="13.5" thickBot="1">
      <c r="A1005" s="337">
        <v>2515</v>
      </c>
      <c r="B1005" s="1017" t="s">
        <v>1080</v>
      </c>
      <c r="C1005" s="1201"/>
    </row>
    <row r="1006" spans="1:3" ht="13.5" thickBot="1">
      <c r="A1006" s="337">
        <v>2516</v>
      </c>
      <c r="B1006" s="1017" t="s">
        <v>1081</v>
      </c>
      <c r="C1006" s="1201"/>
    </row>
    <row r="1007" spans="1:3" ht="13.5" thickBot="1">
      <c r="A1007" s="337">
        <v>2517</v>
      </c>
      <c r="B1007" s="1017" t="s">
        <v>1082</v>
      </c>
      <c r="C1007" s="1201"/>
    </row>
    <row r="1008" spans="1:3" ht="13.5" thickBot="1">
      <c r="A1008" s="337">
        <v>2518</v>
      </c>
      <c r="B1008" s="1017" t="s">
        <v>1083</v>
      </c>
      <c r="C1008" s="1201"/>
    </row>
    <row r="1009" spans="1:3" ht="13.5" thickBot="1">
      <c r="A1009" s="337">
        <v>2519</v>
      </c>
      <c r="B1009" s="1017" t="s">
        <v>1084</v>
      </c>
      <c r="C1009" s="1201"/>
    </row>
    <row r="1010" spans="1:3" ht="13.5" thickBot="1">
      <c r="A1010" s="337">
        <v>2520</v>
      </c>
      <c r="B1010" s="1017" t="s">
        <v>1085</v>
      </c>
      <c r="C1010" s="1201"/>
    </row>
    <row r="1011" spans="1:3" ht="13.5" thickBot="1">
      <c r="A1011" s="337">
        <v>2521</v>
      </c>
      <c r="B1011" s="1017" t="s">
        <v>1086</v>
      </c>
      <c r="C1011" s="1201"/>
    </row>
    <row r="1012" spans="1:3" ht="13.5" thickBot="1">
      <c r="A1012" s="337">
        <v>2522</v>
      </c>
      <c r="B1012" s="1017" t="s">
        <v>1087</v>
      </c>
      <c r="C1012" s="1201"/>
    </row>
    <row r="1013" spans="1:3" ht="13.5" thickBot="1">
      <c r="A1013" s="337">
        <v>2523</v>
      </c>
      <c r="B1013" s="1017" t="s">
        <v>1088</v>
      </c>
      <c r="C1013" s="1201"/>
    </row>
    <row r="1014" spans="1:3" ht="13.5" thickBot="1">
      <c r="A1014" s="337">
        <v>2524</v>
      </c>
      <c r="B1014" s="1017" t="s">
        <v>1089</v>
      </c>
      <c r="C1014" s="1201"/>
    </row>
    <row r="1015" spans="1:3" ht="13.5" thickBot="1">
      <c r="A1015" s="337">
        <v>2525</v>
      </c>
      <c r="B1015" s="1017" t="s">
        <v>1090</v>
      </c>
      <c r="C1015" s="1201"/>
    </row>
    <row r="1016" spans="1:3" ht="13.5" thickBot="1">
      <c r="A1016" s="337">
        <v>2526</v>
      </c>
      <c r="B1016" s="1017" t="s">
        <v>1091</v>
      </c>
      <c r="C1016" s="1201"/>
    </row>
    <row r="1017" spans="1:3" ht="13.5" thickBot="1">
      <c r="A1017" s="337">
        <v>2527</v>
      </c>
      <c r="B1017" s="1017" t="s">
        <v>1092</v>
      </c>
      <c r="C1017" s="1201"/>
    </row>
    <row r="1018" spans="1:3" ht="13.5" thickBot="1">
      <c r="A1018" s="337">
        <v>2528</v>
      </c>
      <c r="B1018" s="1017" t="s">
        <v>1093</v>
      </c>
      <c r="C1018" s="1201"/>
    </row>
    <row r="1019" spans="1:3" ht="13.5" thickBot="1">
      <c r="A1019" s="337">
        <v>2529</v>
      </c>
      <c r="B1019" s="1017" t="s">
        <v>1094</v>
      </c>
      <c r="C1019" s="1201"/>
    </row>
    <row r="1020" spans="1:3" ht="13.5" thickBot="1">
      <c r="A1020" s="337">
        <v>2530</v>
      </c>
      <c r="B1020" s="1017" t="s">
        <v>1095</v>
      </c>
      <c r="C1020" s="1201"/>
    </row>
    <row r="1021" spans="1:3" ht="13.5" thickBot="1">
      <c r="A1021" s="337">
        <v>2531</v>
      </c>
      <c r="B1021" s="1017" t="s">
        <v>1096</v>
      </c>
      <c r="C1021" s="1201"/>
    </row>
    <row r="1022" spans="1:3" ht="13.5" thickBot="1">
      <c r="A1022" s="337">
        <v>2532</v>
      </c>
      <c r="B1022" s="1017" t="s">
        <v>1097</v>
      </c>
      <c r="C1022" s="1201"/>
    </row>
    <row r="1023" spans="1:3" ht="13.5" thickBot="1">
      <c r="A1023" s="337">
        <v>2533</v>
      </c>
      <c r="B1023" s="1017" t="s">
        <v>1098</v>
      </c>
      <c r="C1023" s="1201"/>
    </row>
    <row r="1024" spans="1:3" ht="13.5" thickBot="1">
      <c r="A1024" s="337">
        <v>2534</v>
      </c>
      <c r="B1024" s="1017" t="s">
        <v>1099</v>
      </c>
      <c r="C1024" s="1201"/>
    </row>
    <row r="1025" spans="1:3" ht="13.5" thickBot="1">
      <c r="A1025" s="337">
        <v>2535</v>
      </c>
      <c r="B1025" s="1017" t="s">
        <v>1100</v>
      </c>
      <c r="C1025" s="1201"/>
    </row>
    <row r="1026" spans="1:3" ht="13.5" thickBot="1">
      <c r="A1026" s="337">
        <v>2536</v>
      </c>
      <c r="B1026" s="1017" t="s">
        <v>1101</v>
      </c>
      <c r="C1026" s="1201"/>
    </row>
    <row r="1027" spans="1:3" ht="13.5" thickBot="1">
      <c r="A1027" s="337">
        <v>2537</v>
      </c>
      <c r="B1027" s="1017" t="s">
        <v>1102</v>
      </c>
      <c r="C1027" s="1201"/>
    </row>
    <row r="1028" spans="1:3" ht="13.5" thickBot="1">
      <c r="A1028" s="337">
        <v>2538</v>
      </c>
      <c r="B1028" s="1017" t="s">
        <v>1103</v>
      </c>
      <c r="C1028" s="1201"/>
    </row>
    <row r="1029" spans="1:3" ht="13.5" thickBot="1">
      <c r="A1029" s="337">
        <v>2539</v>
      </c>
      <c r="B1029" s="1017" t="s">
        <v>1104</v>
      </c>
      <c r="C1029" s="1201"/>
    </row>
    <row r="1030" spans="1:3" ht="13.5" thickBot="1">
      <c r="A1030" s="337">
        <v>2540</v>
      </c>
      <c r="B1030" s="1017" t="s">
        <v>1105</v>
      </c>
      <c r="C1030" s="1201"/>
    </row>
    <row r="1031" spans="1:3" ht="13.5" thickBot="1">
      <c r="A1031" s="337">
        <v>2541</v>
      </c>
      <c r="B1031" s="1017" t="s">
        <v>1106</v>
      </c>
      <c r="C1031" s="1201"/>
    </row>
    <row r="1032" spans="1:3" ht="13.5" thickBot="1">
      <c r="A1032" s="337">
        <v>2542</v>
      </c>
      <c r="B1032" s="1017" t="s">
        <v>1107</v>
      </c>
      <c r="C1032" s="1201"/>
    </row>
    <row r="1033" spans="1:3" ht="13.5" thickBot="1">
      <c r="A1033" s="337">
        <v>2543</v>
      </c>
      <c r="B1033" s="1017" t="s">
        <v>1108</v>
      </c>
      <c r="C1033" s="1201"/>
    </row>
    <row r="1034" spans="1:3" ht="13.5" thickBot="1">
      <c r="A1034" s="337">
        <v>2544</v>
      </c>
      <c r="B1034" s="1017" t="s">
        <v>1109</v>
      </c>
      <c r="C1034" s="1201"/>
    </row>
    <row r="1035" spans="1:3" ht="13.5" thickBot="1">
      <c r="A1035" s="337">
        <v>2545</v>
      </c>
      <c r="B1035" s="1017" t="s">
        <v>1110</v>
      </c>
      <c r="C1035" s="1201"/>
    </row>
    <row r="1036" spans="1:3" ht="13.5" thickBot="1">
      <c r="A1036" s="337">
        <v>2546</v>
      </c>
      <c r="B1036" s="1017" t="s">
        <v>1111</v>
      </c>
      <c r="C1036" s="1201"/>
    </row>
    <row r="1037" spans="1:3" ht="13.5" thickBot="1">
      <c r="A1037" s="337">
        <v>2547</v>
      </c>
      <c r="B1037" s="1017" t="s">
        <v>1112</v>
      </c>
      <c r="C1037" s="1201"/>
    </row>
    <row r="1038" spans="1:3" ht="13.5" thickBot="1">
      <c r="A1038" s="337">
        <v>2548</v>
      </c>
      <c r="B1038" s="1017" t="s">
        <v>1113</v>
      </c>
      <c r="C1038" s="1201"/>
    </row>
    <row r="1039" spans="1:3" ht="13.5" thickBot="1">
      <c r="A1039" s="337">
        <v>2549</v>
      </c>
      <c r="B1039" s="1017" t="s">
        <v>1114</v>
      </c>
      <c r="C1039" s="1201"/>
    </row>
    <row r="1040" spans="1:3" ht="13.5" thickBot="1">
      <c r="A1040" s="337">
        <v>2550</v>
      </c>
      <c r="B1040" s="1019" t="s">
        <v>1115</v>
      </c>
      <c r="C1040" s="1201"/>
    </row>
    <row r="1041" spans="1:3" ht="13.5" thickBot="1">
      <c r="A1041" s="337">
        <v>2551</v>
      </c>
      <c r="B1041" s="1017" t="s">
        <v>1116</v>
      </c>
      <c r="C1041" s="1201"/>
    </row>
    <row r="1042" spans="1:3" ht="13.5" thickBot="1">
      <c r="A1042" s="337">
        <v>2552</v>
      </c>
      <c r="B1042" s="1017" t="s">
        <v>1117</v>
      </c>
      <c r="C1042" s="1201"/>
    </row>
    <row r="1043" spans="1:3" ht="13.5" thickBot="1">
      <c r="A1043" s="337">
        <v>2553</v>
      </c>
      <c r="B1043" s="1017" t="s">
        <v>1118</v>
      </c>
      <c r="C1043" s="1201"/>
    </row>
    <row r="1044" spans="1:3" ht="13.5" thickBot="1">
      <c r="A1044" s="337">
        <v>2554</v>
      </c>
      <c r="B1044" s="1017" t="s">
        <v>1119</v>
      </c>
      <c r="C1044" s="1201"/>
    </row>
    <row r="1045" spans="1:3" ht="13.5" thickBot="1">
      <c r="A1045" s="337">
        <v>2555</v>
      </c>
      <c r="B1045" s="1017" t="s">
        <v>1120</v>
      </c>
      <c r="C1045" s="1201"/>
    </row>
    <row r="1046" spans="1:3" ht="13.5" thickBot="1">
      <c r="A1046" s="337">
        <v>2556</v>
      </c>
      <c r="B1046" s="1017" t="s">
        <v>1121</v>
      </c>
      <c r="C1046" s="1201"/>
    </row>
    <row r="1047" spans="1:3" ht="13.5" thickBot="1">
      <c r="A1047" s="337">
        <v>2557</v>
      </c>
      <c r="B1047" s="1017" t="s">
        <v>1122</v>
      </c>
      <c r="C1047" s="1201"/>
    </row>
    <row r="1048" spans="1:3" ht="13.5" thickBot="1">
      <c r="A1048" s="337">
        <v>2558</v>
      </c>
      <c r="B1048" s="1017" t="s">
        <v>1123</v>
      </c>
      <c r="C1048" s="1201"/>
    </row>
    <row r="1049" spans="1:3" ht="13.5" thickBot="1">
      <c r="A1049" s="337">
        <v>2559</v>
      </c>
      <c r="B1049" s="1017" t="s">
        <v>1124</v>
      </c>
      <c r="C1049" s="1201"/>
    </row>
    <row r="1050" spans="1:3" ht="13.5" thickBot="1">
      <c r="A1050" s="337">
        <v>2560</v>
      </c>
      <c r="B1050" s="1017" t="s">
        <v>1125</v>
      </c>
      <c r="C1050" s="1201"/>
    </row>
    <row r="1051" spans="1:3" ht="13.5" thickBot="1">
      <c r="A1051" s="337">
        <v>2561</v>
      </c>
      <c r="B1051" s="1017" t="s">
        <v>1126</v>
      </c>
      <c r="C1051" s="1201"/>
    </row>
    <row r="1052" spans="1:3" ht="13.5" thickBot="1">
      <c r="A1052" s="337">
        <v>2562</v>
      </c>
      <c r="B1052" s="1017" t="s">
        <v>1127</v>
      </c>
      <c r="C1052" s="1201"/>
    </row>
    <row r="1053" spans="1:3" ht="13.5" thickBot="1">
      <c r="A1053" s="337">
        <v>2563</v>
      </c>
      <c r="B1053" s="1017" t="s">
        <v>1128</v>
      </c>
      <c r="C1053" s="1201"/>
    </row>
    <row r="1054" spans="1:3" ht="13.5" thickBot="1">
      <c r="A1054" s="337">
        <v>2564</v>
      </c>
      <c r="B1054" s="1017" t="s">
        <v>1129</v>
      </c>
      <c r="C1054" s="1201"/>
    </row>
    <row r="1055" spans="1:3" ht="13.5" thickBot="1">
      <c r="A1055" s="337">
        <v>2565</v>
      </c>
      <c r="B1055" s="1017" t="s">
        <v>1130</v>
      </c>
      <c r="C1055" s="1201"/>
    </row>
    <row r="1056" spans="1:3" ht="13.5" thickBot="1">
      <c r="A1056" s="337">
        <v>2566</v>
      </c>
      <c r="B1056" s="1017" t="s">
        <v>1131</v>
      </c>
      <c r="C1056" s="1201"/>
    </row>
    <row r="1057" spans="1:3" ht="13.5" thickBot="1">
      <c r="A1057" s="337">
        <v>2567</v>
      </c>
      <c r="B1057" s="1017" t="s">
        <v>1132</v>
      </c>
      <c r="C1057" s="1201"/>
    </row>
    <row r="1058" spans="1:3" ht="13.5" thickBot="1">
      <c r="A1058" s="337">
        <v>2568</v>
      </c>
      <c r="B1058" s="1017" t="s">
        <v>1133</v>
      </c>
      <c r="C1058" s="1201"/>
    </row>
    <row r="1059" spans="1:3" ht="13.5" thickBot="1">
      <c r="A1059" s="337">
        <v>2569</v>
      </c>
      <c r="B1059" s="1017" t="s">
        <v>1134</v>
      </c>
      <c r="C1059" s="1201"/>
    </row>
    <row r="1060" spans="1:3" ht="13.5" thickBot="1">
      <c r="A1060" s="337">
        <v>2570</v>
      </c>
      <c r="B1060" s="1017" t="s">
        <v>1135</v>
      </c>
      <c r="C1060" s="1201"/>
    </row>
    <row r="1061" spans="1:3" ht="13.5" thickBot="1">
      <c r="A1061" s="337">
        <v>2571</v>
      </c>
      <c r="B1061" s="1017" t="s">
        <v>1136</v>
      </c>
      <c r="C1061" s="1201"/>
    </row>
    <row r="1062" spans="1:3" ht="13.5" thickBot="1">
      <c r="A1062" s="337">
        <v>2572</v>
      </c>
      <c r="B1062" s="1019" t="s">
        <v>1137</v>
      </c>
      <c r="C1062" s="1201"/>
    </row>
    <row r="1063" spans="1:3" ht="13.5" thickBot="1">
      <c r="A1063" s="337">
        <v>2573</v>
      </c>
      <c r="B1063" s="1017" t="s">
        <v>1138</v>
      </c>
      <c r="C1063" s="1201"/>
    </row>
    <row r="1064" spans="1:3" ht="13.5" thickBot="1">
      <c r="A1064" s="337">
        <v>2574</v>
      </c>
      <c r="B1064" s="1017" t="s">
        <v>1139</v>
      </c>
      <c r="C1064" s="1201"/>
    </row>
    <row r="1065" spans="1:3" ht="13.5" thickBot="1">
      <c r="A1065" s="337">
        <v>2575</v>
      </c>
      <c r="B1065" s="1019" t="s">
        <v>1140</v>
      </c>
      <c r="C1065" s="1201"/>
    </row>
    <row r="1066" spans="1:3" ht="13.5" thickBot="1">
      <c r="A1066" s="337">
        <v>2576</v>
      </c>
      <c r="B1066" s="1017" t="s">
        <v>1141</v>
      </c>
      <c r="C1066" s="1201"/>
    </row>
    <row r="1067" spans="1:3" ht="13.5" thickBot="1">
      <c r="A1067" s="337">
        <v>2577</v>
      </c>
      <c r="B1067" s="1017" t="s">
        <v>1142</v>
      </c>
      <c r="C1067" s="1201"/>
    </row>
    <row r="1068" spans="1:3" ht="13.5" thickBot="1">
      <c r="A1068" s="337">
        <v>2578</v>
      </c>
      <c r="B1068" s="1017" t="s">
        <v>1143</v>
      </c>
      <c r="C1068" s="1201"/>
    </row>
    <row r="1069" spans="1:3" ht="13.5" thickBot="1">
      <c r="A1069" s="337">
        <v>2579</v>
      </c>
      <c r="B1069" s="1017" t="s">
        <v>1144</v>
      </c>
      <c r="C1069" s="1201"/>
    </row>
    <row r="1070" spans="1:3" ht="13.5" thickBot="1">
      <c r="A1070" s="337">
        <v>2580</v>
      </c>
      <c r="B1070" s="1017" t="s">
        <v>1145</v>
      </c>
      <c r="C1070" s="1201"/>
    </row>
    <row r="1071" spans="1:3" ht="13.5" thickBot="1">
      <c r="A1071" s="337">
        <v>2581</v>
      </c>
      <c r="B1071" s="1017" t="s">
        <v>1146</v>
      </c>
      <c r="C1071" s="1201"/>
    </row>
    <row r="1072" spans="1:3" ht="13.5" thickBot="1">
      <c r="A1072" s="337">
        <v>2582</v>
      </c>
      <c r="B1072" s="1017" t="s">
        <v>1147</v>
      </c>
      <c r="C1072" s="1201"/>
    </row>
    <row r="1073" spans="1:3" ht="13.5" thickBot="1">
      <c r="A1073" s="337">
        <v>2583</v>
      </c>
      <c r="B1073" s="1017" t="s">
        <v>1148</v>
      </c>
      <c r="C1073" s="1201"/>
    </row>
    <row r="1074" spans="1:3" ht="13.5" thickBot="1">
      <c r="A1074" s="337">
        <v>2584</v>
      </c>
      <c r="B1074" s="1017" t="s">
        <v>1149</v>
      </c>
      <c r="C1074" s="1201"/>
    </row>
    <row r="1075" spans="1:3" ht="13.5" thickBot="1">
      <c r="A1075" s="337">
        <v>2585</v>
      </c>
      <c r="B1075" s="1017" t="s">
        <v>1150</v>
      </c>
      <c r="C1075" s="1201"/>
    </row>
    <row r="1076" spans="1:3" ht="13.5" thickBot="1">
      <c r="A1076" s="337">
        <v>2586</v>
      </c>
      <c r="B1076" s="1017" t="s">
        <v>1151</v>
      </c>
      <c r="C1076" s="1201"/>
    </row>
    <row r="1077" spans="1:3" ht="13.5" thickBot="1">
      <c r="A1077" s="337">
        <v>2587</v>
      </c>
      <c r="B1077" s="1017" t="s">
        <v>1152</v>
      </c>
      <c r="C1077" s="1201"/>
    </row>
    <row r="1078" spans="1:3" ht="13.5" thickBot="1">
      <c r="A1078" s="337">
        <v>2588</v>
      </c>
      <c r="B1078" s="1017" t="s">
        <v>1153</v>
      </c>
      <c r="C1078" s="1201"/>
    </row>
    <row r="1079" spans="1:3" ht="13.5" thickBot="1">
      <c r="A1079" s="337">
        <v>2589</v>
      </c>
      <c r="B1079" s="1017" t="s">
        <v>1154</v>
      </c>
      <c r="C1079" s="1201"/>
    </row>
    <row r="1080" spans="1:3" ht="13.5" thickBot="1">
      <c r="A1080" s="337">
        <v>2590</v>
      </c>
      <c r="B1080" s="1019" t="s">
        <v>1155</v>
      </c>
      <c r="C1080" s="1201"/>
    </row>
    <row r="1081" spans="1:3" ht="13.5" thickBot="1">
      <c r="A1081" s="337">
        <v>2591</v>
      </c>
      <c r="B1081" s="1019" t="s">
        <v>1156</v>
      </c>
      <c r="C1081" s="1201"/>
    </row>
    <row r="1082" spans="1:3" ht="13.5" thickBot="1">
      <c r="A1082" s="337">
        <v>2592</v>
      </c>
      <c r="B1082" s="1019" t="s">
        <v>1157</v>
      </c>
      <c r="C1082" s="1201"/>
    </row>
    <row r="1083" spans="1:3" ht="13.5" thickBot="1">
      <c r="A1083" s="337">
        <v>2593</v>
      </c>
      <c r="B1083" s="1017" t="s">
        <v>1158</v>
      </c>
      <c r="C1083" s="1201"/>
    </row>
    <row r="1084" spans="1:3" ht="13.5" thickBot="1">
      <c r="A1084" s="337">
        <v>2594</v>
      </c>
      <c r="B1084" s="1017" t="s">
        <v>1159</v>
      </c>
      <c r="C1084" s="1201"/>
    </row>
    <row r="1085" spans="1:3" ht="13.5" thickBot="1">
      <c r="A1085" s="337">
        <v>2595</v>
      </c>
      <c r="B1085" s="1017" t="s">
        <v>1160</v>
      </c>
      <c r="C1085" s="1201"/>
    </row>
    <row r="1086" spans="1:3" ht="13.5" thickBot="1">
      <c r="A1086" s="337">
        <v>2596</v>
      </c>
      <c r="B1086" s="1019" t="s">
        <v>1161</v>
      </c>
      <c r="C1086" s="1201"/>
    </row>
    <row r="1087" spans="1:3" ht="13.5" thickBot="1">
      <c r="A1087" s="337">
        <v>2597</v>
      </c>
      <c r="B1087" s="1017" t="s">
        <v>1162</v>
      </c>
      <c r="C1087" s="1201"/>
    </row>
    <row r="1088" spans="1:3" ht="13.5" thickBot="1">
      <c r="A1088" s="337">
        <v>2598</v>
      </c>
      <c r="B1088" s="1017" t="s">
        <v>1163</v>
      </c>
      <c r="C1088" s="1201"/>
    </row>
    <row r="1089" spans="1:3" ht="13.5" thickBot="1">
      <c r="A1089" s="337">
        <v>2599</v>
      </c>
      <c r="B1089" s="1017" t="s">
        <v>1164</v>
      </c>
      <c r="C1089" s="1201"/>
    </row>
    <row r="1090" spans="1:3" ht="13.5" thickBot="1">
      <c r="A1090" s="337">
        <v>2600</v>
      </c>
      <c r="B1090" s="1017" t="s">
        <v>1165</v>
      </c>
      <c r="C1090" s="1201"/>
    </row>
    <row r="1091" spans="1:3" ht="13.5" thickBot="1">
      <c r="A1091" s="337">
        <v>2601</v>
      </c>
      <c r="B1091" s="1017" t="s">
        <v>1166</v>
      </c>
      <c r="C1091" s="1201"/>
    </row>
    <row r="1092" spans="1:3" ht="13.5" thickBot="1">
      <c r="A1092" s="337">
        <v>2602</v>
      </c>
      <c r="B1092" s="1017" t="s">
        <v>1167</v>
      </c>
      <c r="C1092" s="1201"/>
    </row>
    <row r="1093" spans="1:3" ht="13.5" thickBot="1">
      <c r="A1093" s="337">
        <v>2603</v>
      </c>
      <c r="B1093" s="1017" t="s">
        <v>1168</v>
      </c>
      <c r="C1093" s="1201"/>
    </row>
    <row r="1094" spans="1:3" ht="13.5" thickBot="1">
      <c r="A1094" s="337">
        <v>2604</v>
      </c>
      <c r="B1094" s="1017" t="s">
        <v>1169</v>
      </c>
      <c r="C1094" s="1201"/>
    </row>
    <row r="1095" spans="1:3" ht="13.5" thickBot="1">
      <c r="A1095" s="337">
        <v>2605</v>
      </c>
      <c r="B1095" s="1017" t="s">
        <v>1170</v>
      </c>
      <c r="C1095" s="1201"/>
    </row>
    <row r="1096" spans="1:3" ht="13.5" thickBot="1">
      <c r="A1096" s="337">
        <v>2606</v>
      </c>
      <c r="B1096" s="1017" t="s">
        <v>1171</v>
      </c>
      <c r="C1096" s="1201"/>
    </row>
    <row r="1097" spans="1:3" ht="13.5" thickBot="1">
      <c r="A1097" s="337">
        <v>2607</v>
      </c>
      <c r="B1097" s="1017" t="s">
        <v>1172</v>
      </c>
      <c r="C1097" s="1201"/>
    </row>
    <row r="1098" spans="1:3" ht="13.5" thickBot="1">
      <c r="A1098" s="337">
        <v>2608</v>
      </c>
      <c r="B1098" s="1017" t="s">
        <v>1173</v>
      </c>
      <c r="C1098" s="1201"/>
    </row>
    <row r="1099" spans="1:3" ht="13.5" thickBot="1">
      <c r="A1099" s="337">
        <v>2609</v>
      </c>
      <c r="B1099" s="1017" t="s">
        <v>1174</v>
      </c>
      <c r="C1099" s="1201"/>
    </row>
    <row r="1100" spans="1:3" ht="13.5" thickBot="1">
      <c r="A1100" s="337">
        <v>2610</v>
      </c>
      <c r="B1100" s="1017" t="s">
        <v>1175</v>
      </c>
      <c r="C1100" s="1201"/>
    </row>
    <row r="1101" spans="1:3" ht="13.5" thickBot="1">
      <c r="A1101" s="337">
        <v>2611</v>
      </c>
      <c r="B1101" s="1017" t="s">
        <v>1176</v>
      </c>
      <c r="C1101" s="1201"/>
    </row>
    <row r="1102" spans="1:3" ht="13.5" thickBot="1">
      <c r="A1102" s="337">
        <v>2612</v>
      </c>
      <c r="B1102" s="1019" t="s">
        <v>1177</v>
      </c>
      <c r="C1102" s="1201"/>
    </row>
    <row r="1103" spans="1:3" ht="13.5" thickBot="1">
      <c r="A1103" s="337">
        <v>2613</v>
      </c>
      <c r="B1103" s="1019" t="s">
        <v>1178</v>
      </c>
      <c r="C1103" s="1201"/>
    </row>
    <row r="1104" spans="1:3" ht="13.5" thickBot="1">
      <c r="A1104" s="337">
        <v>2614</v>
      </c>
      <c r="B1104" s="1019" t="s">
        <v>1179</v>
      </c>
      <c r="C1104" s="1201"/>
    </row>
    <row r="1105" spans="1:3" ht="13.5" thickBot="1">
      <c r="A1105" s="337">
        <v>2615</v>
      </c>
      <c r="B1105" s="1017" t="s">
        <v>1180</v>
      </c>
      <c r="C1105" s="1201"/>
    </row>
    <row r="1106" spans="1:3" ht="13.5" thickBot="1">
      <c r="A1106" s="337">
        <v>2616</v>
      </c>
      <c r="B1106" s="1017" t="s">
        <v>1181</v>
      </c>
      <c r="C1106" s="1201"/>
    </row>
    <row r="1107" spans="1:3" ht="13.5" thickBot="1">
      <c r="A1107" s="337">
        <v>2617</v>
      </c>
      <c r="B1107" s="1019" t="s">
        <v>1182</v>
      </c>
      <c r="C1107" s="1201"/>
    </row>
    <row r="1108" spans="1:3" ht="13.5" thickBot="1">
      <c r="A1108" s="337">
        <v>2618</v>
      </c>
      <c r="B1108" s="1017" t="s">
        <v>1183</v>
      </c>
      <c r="C1108" s="1201"/>
    </row>
    <row r="1109" spans="1:3" ht="13.5" thickBot="1">
      <c r="A1109" s="337">
        <v>2619</v>
      </c>
      <c r="B1109" s="1017" t="s">
        <v>1184</v>
      </c>
      <c r="C1109" s="1201"/>
    </row>
    <row r="1110" spans="1:3" ht="13.5" thickBot="1">
      <c r="A1110" s="337">
        <v>2620</v>
      </c>
      <c r="B1110" s="1019" t="s">
        <v>1185</v>
      </c>
      <c r="C1110" s="1201"/>
    </row>
    <row r="1111" spans="1:3" ht="13.5" thickBot="1">
      <c r="A1111" s="337">
        <v>2621</v>
      </c>
      <c r="B1111" s="1017" t="s">
        <v>1186</v>
      </c>
      <c r="C1111" s="1201"/>
    </row>
    <row r="1112" spans="1:3" ht="13.5" thickBot="1">
      <c r="A1112" s="337">
        <v>2622</v>
      </c>
      <c r="B1112" s="1019" t="s">
        <v>1187</v>
      </c>
      <c r="C1112" s="1201"/>
    </row>
    <row r="1113" spans="1:3" ht="13.5" thickBot="1">
      <c r="A1113" s="337">
        <v>2623</v>
      </c>
      <c r="B1113" s="1019" t="s">
        <v>1188</v>
      </c>
      <c r="C1113" s="1201"/>
    </row>
    <row r="1114" spans="1:3" ht="13.5" thickBot="1">
      <c r="A1114" s="337">
        <v>2624</v>
      </c>
      <c r="B1114" s="1017" t="s">
        <v>1189</v>
      </c>
      <c r="C1114" s="1201"/>
    </row>
    <row r="1115" spans="1:3" ht="13.5" thickBot="1">
      <c r="A1115" s="337">
        <v>2625</v>
      </c>
      <c r="B1115" s="1017" t="s">
        <v>1190</v>
      </c>
      <c r="C1115" s="1201"/>
    </row>
    <row r="1116" spans="1:3" ht="13.5" thickBot="1">
      <c r="A1116" s="337">
        <v>2626</v>
      </c>
      <c r="B1116" s="1019" t="s">
        <v>1191</v>
      </c>
      <c r="C1116" s="1201"/>
    </row>
    <row r="1117" spans="1:3" ht="13.5" thickBot="1">
      <c r="A1117" s="337">
        <v>2627</v>
      </c>
      <c r="B1117" s="1017" t="s">
        <v>1192</v>
      </c>
      <c r="C1117" s="1201"/>
    </row>
    <row r="1118" spans="1:3" ht="13.5" thickBot="1">
      <c r="A1118" s="337">
        <v>2628</v>
      </c>
      <c r="B1118" s="1017" t="s">
        <v>1193</v>
      </c>
      <c r="C1118" s="1201"/>
    </row>
    <row r="1119" spans="1:3" ht="13.5" thickBot="1">
      <c r="A1119" s="337">
        <v>2629</v>
      </c>
      <c r="B1119" s="1017" t="s">
        <v>1194</v>
      </c>
      <c r="C1119" s="1201"/>
    </row>
    <row r="1120" spans="1:3" ht="13.5" thickBot="1">
      <c r="A1120" s="337">
        <v>2630</v>
      </c>
      <c r="B1120" s="1017" t="s">
        <v>1195</v>
      </c>
      <c r="C1120" s="1201"/>
    </row>
    <row r="1121" spans="1:3" ht="13.5" thickBot="1">
      <c r="A1121" s="337">
        <v>2631</v>
      </c>
      <c r="B1121" s="1017" t="s">
        <v>1196</v>
      </c>
      <c r="C1121" s="1201"/>
    </row>
    <row r="1122" spans="1:3" ht="13.5" thickBot="1">
      <c r="A1122" s="337">
        <v>2632</v>
      </c>
      <c r="B1122" s="1017" t="s">
        <v>1197</v>
      </c>
      <c r="C1122" s="1201"/>
    </row>
    <row r="1123" spans="1:3" ht="13.5" thickBot="1">
      <c r="A1123" s="337">
        <v>2633</v>
      </c>
      <c r="B1123" s="1017" t="s">
        <v>1198</v>
      </c>
      <c r="C1123" s="1201"/>
    </row>
    <row r="1124" spans="1:3" ht="13.5" thickBot="1">
      <c r="A1124" s="337">
        <v>2634</v>
      </c>
      <c r="B1124" s="1017" t="s">
        <v>1199</v>
      </c>
      <c r="C1124" s="1201"/>
    </row>
    <row r="1125" spans="1:3" ht="13.5" thickBot="1">
      <c r="A1125" s="337">
        <v>2635</v>
      </c>
      <c r="B1125" s="1017" t="s">
        <v>1200</v>
      </c>
      <c r="C1125" s="1201"/>
    </row>
    <row r="1126" spans="1:3" ht="13.5" thickBot="1">
      <c r="A1126" s="337">
        <v>2636</v>
      </c>
      <c r="B1126" s="1017" t="s">
        <v>1201</v>
      </c>
      <c r="C1126" s="1201"/>
    </row>
    <row r="1127" spans="1:3" ht="13.5" thickBot="1">
      <c r="A1127" s="337">
        <v>2637</v>
      </c>
      <c r="B1127" s="1017" t="s">
        <v>1202</v>
      </c>
      <c r="C1127" s="1201"/>
    </row>
    <row r="1128" spans="1:3" ht="13.5" thickBot="1">
      <c r="A1128" s="337">
        <v>2638</v>
      </c>
      <c r="B1128" s="1017" t="s">
        <v>1203</v>
      </c>
      <c r="C1128" s="1201"/>
    </row>
    <row r="1129" spans="1:3" ht="13.5" thickBot="1">
      <c r="A1129" s="337">
        <v>2639</v>
      </c>
      <c r="B1129" s="1017" t="s">
        <v>1204</v>
      </c>
      <c r="C1129" s="1201"/>
    </row>
    <row r="1130" spans="1:3" ht="13.5" thickBot="1">
      <c r="A1130" s="337">
        <v>2640</v>
      </c>
      <c r="B1130" s="1017" t="s">
        <v>1205</v>
      </c>
      <c r="C1130" s="1201"/>
    </row>
    <row r="1131" spans="1:3" ht="13.5" thickBot="1">
      <c r="A1131" s="337">
        <v>2641</v>
      </c>
      <c r="B1131" s="1017" t="s">
        <v>1206</v>
      </c>
      <c r="C1131" s="1201"/>
    </row>
    <row r="1132" spans="1:3" ht="13.5" thickBot="1">
      <c r="A1132" s="337">
        <v>2642</v>
      </c>
      <c r="B1132" s="1017" t="s">
        <v>1207</v>
      </c>
      <c r="C1132" s="1201"/>
    </row>
    <row r="1133" spans="1:3" ht="13.5" thickBot="1">
      <c r="A1133" s="337">
        <v>2643</v>
      </c>
      <c r="B1133" s="1017" t="s">
        <v>1208</v>
      </c>
      <c r="C1133" s="1201"/>
    </row>
    <row r="1134" spans="1:3" ht="13.5" thickBot="1">
      <c r="A1134" s="337">
        <v>2644</v>
      </c>
      <c r="B1134" s="1017" t="s">
        <v>1209</v>
      </c>
      <c r="C1134" s="1201"/>
    </row>
    <row r="1135" spans="1:3" ht="13.5" thickBot="1">
      <c r="A1135" s="337">
        <v>2645</v>
      </c>
      <c r="B1135" s="1017" t="s">
        <v>1210</v>
      </c>
      <c r="C1135" s="1201"/>
    </row>
    <row r="1136" spans="1:3" ht="13.5" thickBot="1">
      <c r="A1136" s="337">
        <v>2646</v>
      </c>
      <c r="B1136" s="1017" t="s">
        <v>1211</v>
      </c>
      <c r="C1136" s="1201"/>
    </row>
    <row r="1137" spans="1:3" ht="13.5" thickBot="1">
      <c r="A1137" s="337">
        <v>2647</v>
      </c>
      <c r="B1137" s="1017" t="s">
        <v>1212</v>
      </c>
      <c r="C1137" s="1201"/>
    </row>
    <row r="1138" spans="1:3" ht="13.5" thickBot="1">
      <c r="A1138" s="337">
        <v>2648</v>
      </c>
      <c r="B1138" s="1017" t="s">
        <v>1213</v>
      </c>
      <c r="C1138" s="1201"/>
    </row>
    <row r="1139" spans="1:3" ht="13.5" thickBot="1">
      <c r="A1139" s="337">
        <v>2649</v>
      </c>
      <c r="B1139" s="1017" t="s">
        <v>1214</v>
      </c>
      <c r="C1139" s="1201"/>
    </row>
    <row r="1140" spans="1:3" ht="13.5" thickBot="1">
      <c r="A1140" s="337">
        <v>2650</v>
      </c>
      <c r="B1140" s="1017" t="s">
        <v>1215</v>
      </c>
      <c r="C1140" s="1201"/>
    </row>
    <row r="1141" spans="1:3" ht="13.5" thickBot="1">
      <c r="A1141" s="337">
        <v>2651</v>
      </c>
      <c r="B1141" s="1017" t="s">
        <v>1216</v>
      </c>
      <c r="C1141" s="1201"/>
    </row>
    <row r="1142" spans="1:3" ht="13.5" thickBot="1">
      <c r="A1142" s="337">
        <v>2652</v>
      </c>
      <c r="B1142" s="1017" t="s">
        <v>1217</v>
      </c>
      <c r="C1142" s="1201"/>
    </row>
    <row r="1143" spans="1:3">
      <c r="A1143" s="337">
        <v>2653</v>
      </c>
      <c r="B1143" s="479" t="s">
        <v>1113</v>
      </c>
      <c r="C1143" s="1201"/>
    </row>
    <row r="1144" spans="1:3">
      <c r="A1144" s="337">
        <v>2654</v>
      </c>
      <c r="B1144" s="479" t="s">
        <v>1218</v>
      </c>
      <c r="C1144" s="1201"/>
    </row>
    <row r="1145" spans="1:3">
      <c r="A1145" s="337">
        <v>2655</v>
      </c>
      <c r="B1145" s="479" t="s">
        <v>1136</v>
      </c>
      <c r="C1145" s="1201"/>
    </row>
    <row r="1146" spans="1:3">
      <c r="A1146" s="337">
        <v>2656</v>
      </c>
      <c r="B1146" s="479" t="s">
        <v>1108</v>
      </c>
      <c r="C1146" s="1201"/>
    </row>
    <row r="1147" spans="1:3" ht="13.5" thickBot="1">
      <c r="A1147" s="337">
        <v>2657</v>
      </c>
      <c r="B1147" s="479" t="s">
        <v>1085</v>
      </c>
      <c r="C1147" s="1201"/>
    </row>
    <row r="1148" spans="1:3" ht="13.5" thickBot="1">
      <c r="A1148" s="337">
        <v>2658</v>
      </c>
      <c r="B1148" s="941" t="s">
        <v>1219</v>
      </c>
      <c r="C1148" s="1201"/>
    </row>
    <row r="1149" spans="1:3">
      <c r="A1149" s="337">
        <v>2659</v>
      </c>
      <c r="B1149" s="1249" t="s">
        <v>1220</v>
      </c>
      <c r="C1149" s="1201"/>
    </row>
    <row r="1150" spans="1:3">
      <c r="A1150" s="337">
        <v>2660</v>
      </c>
      <c r="B1150" s="1249" t="s">
        <v>1221</v>
      </c>
      <c r="C1150" s="1201"/>
    </row>
    <row r="1151" spans="1:3">
      <c r="A1151" s="337">
        <v>2661</v>
      </c>
      <c r="B1151" s="663" t="s">
        <v>1222</v>
      </c>
      <c r="C1151" s="1201"/>
    </row>
    <row r="1152" spans="1:3">
      <c r="A1152" s="1283">
        <v>2770</v>
      </c>
      <c r="B1152" s="1095" t="s">
        <v>1756</v>
      </c>
    </row>
    <row r="1153" spans="1:2">
      <c r="A1153" s="1283">
        <v>2771</v>
      </c>
      <c r="B1153" s="1095" t="s">
        <v>1757</v>
      </c>
    </row>
    <row r="1154" spans="1:2">
      <c r="A1154" s="1283">
        <v>2772</v>
      </c>
      <c r="B1154" s="1095" t="s">
        <v>1758</v>
      </c>
    </row>
    <row r="1155" spans="1:2">
      <c r="A1155" s="1283">
        <v>2773</v>
      </c>
      <c r="B1155" s="1095" t="s">
        <v>1759</v>
      </c>
    </row>
    <row r="1156" spans="1:2">
      <c r="A1156" s="1283">
        <v>2774</v>
      </c>
      <c r="B1156" s="1095" t="s">
        <v>1760</v>
      </c>
    </row>
    <row r="1157" spans="1:2">
      <c r="A1157" s="1283">
        <v>2775</v>
      </c>
      <c r="B1157" s="1095" t="s">
        <v>1761</v>
      </c>
    </row>
    <row r="1158" spans="1:2">
      <c r="A1158" s="1283">
        <v>2776</v>
      </c>
      <c r="B1158" s="1095" t="s">
        <v>1762</v>
      </c>
    </row>
    <row r="1159" spans="1:2">
      <c r="A1159" s="1283">
        <v>2777</v>
      </c>
      <c r="B1159" s="1095" t="s">
        <v>1763</v>
      </c>
    </row>
    <row r="1160" spans="1:2">
      <c r="A1160" s="1283">
        <v>2778</v>
      </c>
      <c r="B1160" s="1095" t="s">
        <v>1764</v>
      </c>
    </row>
    <row r="1161" spans="1:2">
      <c r="A1161" s="1283">
        <v>2779</v>
      </c>
      <c r="B1161" s="1095" t="s">
        <v>1765</v>
      </c>
    </row>
    <row r="1162" spans="1:2">
      <c r="A1162" s="1283">
        <v>2780</v>
      </c>
      <c r="B1162" s="1095" t="s">
        <v>1766</v>
      </c>
    </row>
    <row r="1163" spans="1:2">
      <c r="A1163" s="1283">
        <v>2781</v>
      </c>
      <c r="B1163" s="1095" t="s">
        <v>1767</v>
      </c>
    </row>
    <row r="1164" spans="1:2">
      <c r="A1164" s="1283">
        <v>2782</v>
      </c>
      <c r="B1164" s="1095" t="s">
        <v>1768</v>
      </c>
    </row>
    <row r="1165" spans="1:2">
      <c r="A1165" s="1283">
        <v>2783</v>
      </c>
      <c r="B1165" s="1095" t="s">
        <v>1769</v>
      </c>
    </row>
    <row r="1166" spans="1:2">
      <c r="A1166" s="1283">
        <v>2784</v>
      </c>
      <c r="B1166" s="1095" t="s">
        <v>1770</v>
      </c>
    </row>
    <row r="1167" spans="1:2">
      <c r="A1167" s="1283">
        <v>2785</v>
      </c>
      <c r="B1167" s="1095" t="s">
        <v>1771</v>
      </c>
    </row>
    <row r="1168" spans="1:2">
      <c r="A1168" s="1283">
        <v>2786</v>
      </c>
      <c r="B1168" s="1095" t="s">
        <v>1772</v>
      </c>
    </row>
    <row r="1169" spans="1:2">
      <c r="A1169" s="1283">
        <v>2787</v>
      </c>
      <c r="B1169" s="1095" t="s">
        <v>1773</v>
      </c>
    </row>
    <row r="1170" spans="1:2">
      <c r="A1170" s="1283">
        <v>2788</v>
      </c>
      <c r="B1170" s="1095" t="s">
        <v>1774</v>
      </c>
    </row>
    <row r="1171" spans="1:2">
      <c r="A1171" s="1283">
        <v>2789</v>
      </c>
      <c r="B1171" s="1095" t="s">
        <v>1775</v>
      </c>
    </row>
    <row r="1172" spans="1:2">
      <c r="A1172" s="1283">
        <v>2790</v>
      </c>
      <c r="B1172" s="1095" t="s">
        <v>1776</v>
      </c>
    </row>
    <row r="1173" spans="1:2">
      <c r="A1173" s="1283">
        <v>2791</v>
      </c>
      <c r="B1173" s="1095" t="s">
        <v>1777</v>
      </c>
    </row>
    <row r="1174" spans="1:2">
      <c r="A1174" s="1283">
        <v>2792</v>
      </c>
      <c r="B1174" s="1095" t="s">
        <v>1778</v>
      </c>
    </row>
    <row r="1175" spans="1:2">
      <c r="A1175" s="1283">
        <v>2793</v>
      </c>
      <c r="B1175" s="1095" t="s">
        <v>1779</v>
      </c>
    </row>
    <row r="1176" spans="1:2">
      <c r="A1176" s="1283">
        <v>2794</v>
      </c>
      <c r="B1176" s="1095" t="s">
        <v>1780</v>
      </c>
    </row>
    <row r="1177" spans="1:2">
      <c r="A1177" s="1283">
        <v>2795</v>
      </c>
      <c r="B1177" s="1095" t="s">
        <v>1781</v>
      </c>
    </row>
    <row r="1178" spans="1:2">
      <c r="A1178" s="1283">
        <v>2796</v>
      </c>
      <c r="B1178" s="1095" t="s">
        <v>1782</v>
      </c>
    </row>
    <row r="1179" spans="1:2">
      <c r="A1179" s="1283">
        <v>2797</v>
      </c>
      <c r="B1179" s="1095" t="s">
        <v>1711</v>
      </c>
    </row>
    <row r="1180" spans="1:2">
      <c r="A1180" s="1283">
        <v>2798</v>
      </c>
      <c r="B1180" s="1095" t="s">
        <v>1712</v>
      </c>
    </row>
    <row r="1181" spans="1:2">
      <c r="A1181" s="1283">
        <v>2799</v>
      </c>
      <c r="B1181" s="1284" t="s">
        <v>1713</v>
      </c>
    </row>
    <row r="1182" spans="1:2">
      <c r="A1182" s="1283">
        <v>2800</v>
      </c>
      <c r="B1182" s="1095" t="s">
        <v>1714</v>
      </c>
    </row>
    <row r="1183" spans="1:2">
      <c r="A1183" s="1283">
        <v>2801</v>
      </c>
      <c r="B1183" s="1095" t="s">
        <v>1715</v>
      </c>
    </row>
    <row r="1184" spans="1:2">
      <c r="A1184" s="1283">
        <v>2802</v>
      </c>
      <c r="B1184" s="1095" t="s">
        <v>1716</v>
      </c>
    </row>
    <row r="1185" spans="1:2">
      <c r="A1185" s="1283">
        <v>2803</v>
      </c>
      <c r="B1185" s="1095" t="s">
        <v>1725</v>
      </c>
    </row>
    <row r="1186" spans="1:2">
      <c r="A1186" s="1283">
        <v>2804</v>
      </c>
      <c r="B1186" s="1095" t="s">
        <v>1717</v>
      </c>
    </row>
    <row r="1187" spans="1:2">
      <c r="A1187" s="1283">
        <v>2805</v>
      </c>
      <c r="B1187" s="1095" t="s">
        <v>1718</v>
      </c>
    </row>
    <row r="1188" spans="1:2">
      <c r="A1188" s="1283">
        <v>2806</v>
      </c>
      <c r="B1188" s="1095" t="s">
        <v>1719</v>
      </c>
    </row>
    <row r="1189" spans="1:2">
      <c r="A1189" s="1283">
        <v>2807</v>
      </c>
      <c r="B1189" s="1095" t="s">
        <v>1720</v>
      </c>
    </row>
    <row r="1190" spans="1:2">
      <c r="A1190" s="1283">
        <v>2808</v>
      </c>
      <c r="B1190" s="1095" t="s">
        <v>1721</v>
      </c>
    </row>
    <row r="1191" spans="1:2">
      <c r="A1191" s="1283">
        <v>2809</v>
      </c>
      <c r="B1191" s="1095" t="s">
        <v>1722</v>
      </c>
    </row>
    <row r="1192" spans="1:2">
      <c r="A1192" s="1283">
        <v>2810</v>
      </c>
      <c r="B1192" s="1095" t="s">
        <v>1723</v>
      </c>
    </row>
    <row r="1193" spans="1:2">
      <c r="A1193" s="1283">
        <v>2811</v>
      </c>
      <c r="B1193" s="1095" t="s">
        <v>1724</v>
      </c>
    </row>
    <row r="1194" spans="1:2">
      <c r="A1194" s="1283">
        <v>2812</v>
      </c>
      <c r="B1194" s="1095" t="s">
        <v>1737</v>
      </c>
    </row>
    <row r="1195" spans="1:2">
      <c r="A1195" s="1283">
        <v>2813</v>
      </c>
      <c r="B1195" s="1095" t="s">
        <v>1738</v>
      </c>
    </row>
    <row r="1196" spans="1:2">
      <c r="A1196" s="1283">
        <v>2814</v>
      </c>
      <c r="B1196" s="1095" t="s">
        <v>1739</v>
      </c>
    </row>
    <row r="1197" spans="1:2">
      <c r="A1197" s="1283">
        <v>2815</v>
      </c>
      <c r="B1197" s="1095" t="s">
        <v>1740</v>
      </c>
    </row>
    <row r="1198" spans="1:2">
      <c r="A1198" s="1283">
        <v>2816</v>
      </c>
      <c r="B1198" s="1095" t="s">
        <v>1741</v>
      </c>
    </row>
    <row r="1199" spans="1:2">
      <c r="A1199" s="1283">
        <v>2817</v>
      </c>
      <c r="B1199" s="1095" t="s">
        <v>1742</v>
      </c>
    </row>
    <row r="1200" spans="1:2">
      <c r="A1200" s="1283">
        <v>2818</v>
      </c>
      <c r="B1200" s="1095" t="s">
        <v>1743</v>
      </c>
    </row>
    <row r="1201" spans="1:2">
      <c r="A1201" s="1283">
        <v>2819</v>
      </c>
      <c r="B1201" s="1095" t="s">
        <v>1744</v>
      </c>
    </row>
    <row r="1202" spans="1:2">
      <c r="A1202" s="1283">
        <v>2820</v>
      </c>
      <c r="B1202" s="1095" t="s">
        <v>1745</v>
      </c>
    </row>
    <row r="1203" spans="1:2">
      <c r="A1203" s="1283">
        <v>2821</v>
      </c>
      <c r="B1203" s="1095" t="s">
        <v>1746</v>
      </c>
    </row>
    <row r="1204" spans="1:2">
      <c r="A1204" s="1283">
        <v>2822</v>
      </c>
      <c r="B1204" s="1095" t="s">
        <v>1747</v>
      </c>
    </row>
    <row r="1205" spans="1:2">
      <c r="A1205" s="1283">
        <v>2823</v>
      </c>
      <c r="B1205" s="1095" t="s">
        <v>1748</v>
      </c>
    </row>
    <row r="1206" spans="1:2">
      <c r="A1206" s="1283">
        <v>2824</v>
      </c>
      <c r="B1206" s="1095" t="s">
        <v>1726</v>
      </c>
    </row>
    <row r="1207" spans="1:2">
      <c r="A1207" s="1283">
        <v>2825</v>
      </c>
      <c r="B1207" s="1095" t="s">
        <v>1727</v>
      </c>
    </row>
    <row r="1208" spans="1:2">
      <c r="A1208" s="1283">
        <v>2826</v>
      </c>
      <c r="B1208" s="1095" t="s">
        <v>1728</v>
      </c>
    </row>
    <row r="1209" spans="1:2">
      <c r="A1209" s="1283">
        <v>2827</v>
      </c>
      <c r="B1209" s="1095" t="s">
        <v>1729</v>
      </c>
    </row>
    <row r="1210" spans="1:2">
      <c r="A1210" s="1283">
        <v>2828</v>
      </c>
      <c r="B1210" s="1095" t="s">
        <v>1730</v>
      </c>
    </row>
    <row r="1211" spans="1:2">
      <c r="A1211" s="1283">
        <v>2829</v>
      </c>
      <c r="B1211" s="1095" t="s">
        <v>1734</v>
      </c>
    </row>
    <row r="1212" spans="1:2">
      <c r="A1212" s="1283">
        <v>2830</v>
      </c>
      <c r="B1212" s="1095" t="s">
        <v>1733</v>
      </c>
    </row>
    <row r="1213" spans="1:2">
      <c r="A1213" s="1283">
        <v>2831</v>
      </c>
      <c r="B1213" s="1095" t="s">
        <v>1735</v>
      </c>
    </row>
    <row r="1214" spans="1:2">
      <c r="A1214" s="1283">
        <v>2832</v>
      </c>
      <c r="B1214" s="1095" t="s">
        <v>1731</v>
      </c>
    </row>
    <row r="1215" spans="1:2">
      <c r="A1215" s="1283">
        <v>2833</v>
      </c>
      <c r="B1215" s="1095" t="s">
        <v>1732</v>
      </c>
    </row>
    <row r="1216" spans="1:2">
      <c r="A1216" s="1283">
        <v>2834</v>
      </c>
      <c r="B1216" s="1095" t="s">
        <v>1736</v>
      </c>
    </row>
    <row r="1217" spans="1:2">
      <c r="A1217" s="1283">
        <v>2835</v>
      </c>
      <c r="B1217" s="1095" t="s">
        <v>1749</v>
      </c>
    </row>
    <row r="1218" spans="1:2">
      <c r="A1218" s="1283">
        <v>2836</v>
      </c>
      <c r="B1218" s="1095" t="s">
        <v>1750</v>
      </c>
    </row>
    <row r="1219" spans="1:2">
      <c r="A1219" s="1283">
        <v>2837</v>
      </c>
      <c r="B1219" s="1095" t="s">
        <v>1751</v>
      </c>
    </row>
    <row r="1220" spans="1:2">
      <c r="A1220" s="1283">
        <v>2838</v>
      </c>
      <c r="B1220" s="1095" t="s">
        <v>1752</v>
      </c>
    </row>
    <row r="1221" spans="1:2">
      <c r="A1221" s="1283">
        <v>2839</v>
      </c>
      <c r="B1221" s="1095" t="s">
        <v>1753</v>
      </c>
    </row>
    <row r="1222" spans="1:2">
      <c r="A1222" s="1283">
        <v>2840</v>
      </c>
      <c r="B1222" s="1095" t="s">
        <v>1754</v>
      </c>
    </row>
    <row r="1223" spans="1:2">
      <c r="A1223" s="1283">
        <v>2841</v>
      </c>
      <c r="B1223" s="1095" t="s">
        <v>1755</v>
      </c>
    </row>
  </sheetData>
  <sheetProtection sheet="1" objects="1" scenarios="1"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ROW(Translations!#REF!) &amp; ":$i$" &amp; ROW(Translations!#REF!)-1+MAX($E$126:$E$135))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sheetPr codeName="Tabelle18" enableFormatConditionsCalculation="0">
    <tabColor indexed="17"/>
    <pageSetUpPr fitToPage="1"/>
  </sheetPr>
  <dimension ref="A1:E90"/>
  <sheetViews>
    <sheetView workbookViewId="0">
      <selection activeCell="C6" sqref="C6"/>
    </sheetView>
  </sheetViews>
  <sheetFormatPr defaultColWidth="11.42578125" defaultRowHeight="12.75"/>
  <cols>
    <col min="1" max="1" width="17.140625" style="46" customWidth="1"/>
    <col min="2" max="2" width="34.7109375" style="46" customWidth="1"/>
    <col min="3" max="3" width="15.140625" style="46" customWidth="1"/>
    <col min="4" max="16384" width="11.42578125" style="46"/>
  </cols>
  <sheetData>
    <row r="1" spans="1:5" ht="13.5" thickBot="1">
      <c r="A1" s="52" t="s">
        <v>254</v>
      </c>
    </row>
    <row r="2" spans="1:5" ht="13.5" thickBot="1">
      <c r="A2" s="119" t="s">
        <v>255</v>
      </c>
      <c r="B2" s="701" t="s">
        <v>572</v>
      </c>
    </row>
    <row r="3" spans="1:5" ht="13.5" thickBot="1">
      <c r="A3" s="120" t="s">
        <v>253</v>
      </c>
      <c r="B3" s="121">
        <v>42356</v>
      </c>
      <c r="C3" s="122" t="str">
        <f>IF(ISNUMBER(MATCH(B3,A20:A28,0)),VLOOKUP(B3,A20:B28,2,FALSE),"---")</f>
        <v>P3 Inst AER_LT_lt_181215.xls</v>
      </c>
      <c r="D3" s="123"/>
      <c r="E3" s="124"/>
    </row>
    <row r="4" spans="1:5">
      <c r="A4" s="125" t="s">
        <v>359</v>
      </c>
      <c r="B4" s="126" t="s">
        <v>155</v>
      </c>
    </row>
    <row r="5" spans="1:5" ht="13.5" thickBot="1">
      <c r="A5" s="127" t="s">
        <v>352</v>
      </c>
      <c r="B5" s="128" t="s">
        <v>383</v>
      </c>
    </row>
    <row r="7" spans="1:5">
      <c r="A7" s="129" t="s">
        <v>256</v>
      </c>
    </row>
    <row r="8" spans="1:5">
      <c r="A8" s="196" t="s">
        <v>356</v>
      </c>
      <c r="B8" s="196"/>
      <c r="C8" s="197" t="s">
        <v>353</v>
      </c>
    </row>
    <row r="9" spans="1:5">
      <c r="A9" s="196" t="s">
        <v>357</v>
      </c>
      <c r="B9" s="196"/>
      <c r="C9" s="197" t="s">
        <v>354</v>
      </c>
    </row>
    <row r="10" spans="1:5">
      <c r="A10" s="196" t="s">
        <v>358</v>
      </c>
      <c r="B10" s="196"/>
      <c r="C10" s="197" t="s">
        <v>355</v>
      </c>
    </row>
    <row r="11" spans="1:5">
      <c r="A11" s="702" t="s">
        <v>448</v>
      </c>
      <c r="B11" s="196"/>
      <c r="C11" s="1025" t="s">
        <v>41</v>
      </c>
    </row>
    <row r="12" spans="1:5">
      <c r="A12" s="196" t="s">
        <v>113</v>
      </c>
      <c r="B12" s="196"/>
      <c r="C12" s="197" t="s">
        <v>114</v>
      </c>
    </row>
    <row r="13" spans="1:5">
      <c r="A13" s="196" t="s">
        <v>553</v>
      </c>
      <c r="B13" s="196"/>
      <c r="C13" s="197" t="s">
        <v>555</v>
      </c>
    </row>
    <row r="14" spans="1:5">
      <c r="A14" s="196" t="s">
        <v>554</v>
      </c>
      <c r="B14" s="196"/>
      <c r="C14" s="197" t="s">
        <v>556</v>
      </c>
    </row>
    <row r="15" spans="1:5">
      <c r="A15" s="702" t="s">
        <v>572</v>
      </c>
      <c r="B15" s="196"/>
      <c r="C15" s="1025" t="s">
        <v>575</v>
      </c>
    </row>
    <row r="16" spans="1:5">
      <c r="A16" s="702" t="s">
        <v>573</v>
      </c>
      <c r="B16" s="196"/>
      <c r="C16" s="1025" t="s">
        <v>576</v>
      </c>
    </row>
    <row r="17" spans="1:4">
      <c r="A17" s="702" t="s">
        <v>574</v>
      </c>
      <c r="B17" s="196"/>
      <c r="C17" s="1025" t="s">
        <v>577</v>
      </c>
    </row>
    <row r="18" spans="1:4">
      <c r="A18" s="53"/>
    </row>
    <row r="19" spans="1:4">
      <c r="A19" s="130" t="s">
        <v>293</v>
      </c>
      <c r="B19" s="131" t="s">
        <v>174</v>
      </c>
      <c r="C19" s="131" t="s">
        <v>138</v>
      </c>
      <c r="D19" s="132"/>
    </row>
    <row r="20" spans="1:4">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c r="A21" s="135">
        <v>41234</v>
      </c>
      <c r="B21" s="136" t="str">
        <f t="shared" si="0"/>
        <v>P3 Inst AER_LT_lt_211112.xls</v>
      </c>
      <c r="C21" s="1057" t="s">
        <v>571</v>
      </c>
      <c r="D21" s="137"/>
    </row>
    <row r="22" spans="1:4">
      <c r="A22" s="135">
        <v>41299</v>
      </c>
      <c r="B22" s="136" t="str">
        <f t="shared" si="0"/>
        <v>P3 Inst AER_LT_lt_250113.xls</v>
      </c>
      <c r="C22" s="1057" t="s">
        <v>582</v>
      </c>
      <c r="D22" s="137"/>
    </row>
    <row r="23" spans="1:4">
      <c r="A23" s="135">
        <v>41344</v>
      </c>
      <c r="B23" s="136" t="str">
        <f t="shared" si="0"/>
        <v>P3 Inst AER_LT_lt_110313.xls</v>
      </c>
      <c r="C23" s="1057" t="s">
        <v>602</v>
      </c>
      <c r="D23" s="137"/>
    </row>
    <row r="24" spans="1:4">
      <c r="A24" s="135">
        <v>41355</v>
      </c>
      <c r="B24" s="136" t="str">
        <f t="shared" si="0"/>
        <v>P3 Inst AER_LT_lt_220313.xls</v>
      </c>
      <c r="C24" s="1057" t="s">
        <v>614</v>
      </c>
      <c r="D24" s="137"/>
    </row>
    <row r="25" spans="1:4">
      <c r="A25" s="135">
        <v>41390</v>
      </c>
      <c r="B25" s="136" t="str">
        <f t="shared" si="0"/>
        <v>P3 Inst AER_LT_lt_260413.xls</v>
      </c>
      <c r="C25" s="136" t="s">
        <v>615</v>
      </c>
      <c r="D25" s="137"/>
    </row>
    <row r="26" spans="1:4">
      <c r="A26" s="135">
        <v>41450</v>
      </c>
      <c r="B26" s="136" t="str">
        <f t="shared" si="0"/>
        <v>P3 Inst AER_LT_lt_250613.xls</v>
      </c>
      <c r="C26" s="1057" t="s">
        <v>616</v>
      </c>
      <c r="D26" s="137"/>
    </row>
    <row r="27" spans="1:4">
      <c r="A27" s="135">
        <v>41556</v>
      </c>
      <c r="B27" s="136" t="str">
        <f t="shared" si="0"/>
        <v>P3 Inst AER_LT_lt_091013.xls</v>
      </c>
      <c r="C27" s="1057" t="s">
        <v>618</v>
      </c>
      <c r="D27" s="137"/>
    </row>
    <row r="28" spans="1:4">
      <c r="A28" s="341">
        <v>42356</v>
      </c>
      <c r="B28" s="138" t="str">
        <f t="shared" si="0"/>
        <v>P3 Inst AER_LT_lt_181215.xls</v>
      </c>
      <c r="C28" s="138" t="s">
        <v>1708</v>
      </c>
      <c r="D28" s="139"/>
    </row>
    <row r="30" spans="1:4">
      <c r="A30" s="52" t="s">
        <v>359</v>
      </c>
    </row>
    <row r="31" spans="1:4">
      <c r="A31" s="117" t="s">
        <v>360</v>
      </c>
      <c r="B31" s="117" t="s">
        <v>175</v>
      </c>
    </row>
    <row r="32" spans="1:4">
      <c r="A32" s="117" t="s">
        <v>115</v>
      </c>
      <c r="B32" s="117" t="s">
        <v>116</v>
      </c>
    </row>
    <row r="33" spans="1:2">
      <c r="A33" s="117" t="s">
        <v>140</v>
      </c>
      <c r="B33" s="117" t="s">
        <v>176</v>
      </c>
    </row>
    <row r="34" spans="1:2">
      <c r="A34" s="117" t="s">
        <v>141</v>
      </c>
      <c r="B34" s="117" t="s">
        <v>177</v>
      </c>
    </row>
    <row r="35" spans="1:2">
      <c r="A35" s="117" t="s">
        <v>142</v>
      </c>
      <c r="B35" s="117" t="s">
        <v>178</v>
      </c>
    </row>
    <row r="36" spans="1:2">
      <c r="A36" s="117" t="s">
        <v>117</v>
      </c>
      <c r="B36" s="117" t="s">
        <v>118</v>
      </c>
    </row>
    <row r="37" spans="1:2">
      <c r="A37" s="117" t="s">
        <v>143</v>
      </c>
      <c r="B37" s="117" t="s">
        <v>179</v>
      </c>
    </row>
    <row r="38" spans="1:2">
      <c r="A38" s="117" t="s">
        <v>144</v>
      </c>
      <c r="B38" s="117" t="s">
        <v>180</v>
      </c>
    </row>
    <row r="39" spans="1:2">
      <c r="A39" s="117" t="s">
        <v>145</v>
      </c>
      <c r="B39" s="117" t="s">
        <v>181</v>
      </c>
    </row>
    <row r="40" spans="1:2">
      <c r="A40" s="117" t="s">
        <v>146</v>
      </c>
      <c r="B40" s="117" t="s">
        <v>182</v>
      </c>
    </row>
    <row r="41" spans="1:2">
      <c r="A41" s="117" t="s">
        <v>147</v>
      </c>
      <c r="B41" s="117" t="s">
        <v>183</v>
      </c>
    </row>
    <row r="42" spans="1:2">
      <c r="A42" s="117" t="s">
        <v>148</v>
      </c>
      <c r="B42" s="117" t="s">
        <v>184</v>
      </c>
    </row>
    <row r="43" spans="1:2">
      <c r="A43" s="117" t="s">
        <v>149</v>
      </c>
      <c r="B43" s="117" t="s">
        <v>185</v>
      </c>
    </row>
    <row r="44" spans="1:2">
      <c r="A44" s="117" t="s">
        <v>150</v>
      </c>
      <c r="B44" s="117" t="s">
        <v>186</v>
      </c>
    </row>
    <row r="45" spans="1:2">
      <c r="A45" s="117" t="s">
        <v>151</v>
      </c>
      <c r="B45" s="117" t="s">
        <v>187</v>
      </c>
    </row>
    <row r="46" spans="1:2">
      <c r="A46" s="117" t="s">
        <v>119</v>
      </c>
      <c r="B46" s="117" t="s">
        <v>120</v>
      </c>
    </row>
    <row r="47" spans="1:2">
      <c r="A47" s="117" t="s">
        <v>152</v>
      </c>
      <c r="B47" s="117" t="s">
        <v>188</v>
      </c>
    </row>
    <row r="48" spans="1:2">
      <c r="A48" s="117" t="s">
        <v>153</v>
      </c>
      <c r="B48" s="117" t="s">
        <v>189</v>
      </c>
    </row>
    <row r="49" spans="1:2">
      <c r="A49" s="117" t="s">
        <v>154</v>
      </c>
      <c r="B49" s="117" t="s">
        <v>190</v>
      </c>
    </row>
    <row r="50" spans="1:2">
      <c r="A50" s="117" t="s">
        <v>121</v>
      </c>
      <c r="B50" s="117" t="s">
        <v>122</v>
      </c>
    </row>
    <row r="51" spans="1:2">
      <c r="A51" s="117" t="s">
        <v>155</v>
      </c>
      <c r="B51" s="117" t="s">
        <v>53</v>
      </c>
    </row>
    <row r="52" spans="1:2">
      <c r="A52" s="117" t="s">
        <v>156</v>
      </c>
      <c r="B52" s="117" t="s">
        <v>54</v>
      </c>
    </row>
    <row r="53" spans="1:2">
      <c r="A53" s="117" t="s">
        <v>157</v>
      </c>
      <c r="B53" s="117" t="s">
        <v>55</v>
      </c>
    </row>
    <row r="54" spans="1:2">
      <c r="A54" s="117" t="s">
        <v>559</v>
      </c>
      <c r="B54" s="117" t="s">
        <v>56</v>
      </c>
    </row>
    <row r="55" spans="1:2">
      <c r="A55" s="117" t="s">
        <v>123</v>
      </c>
      <c r="B55" s="117" t="s">
        <v>65</v>
      </c>
    </row>
    <row r="56" spans="1:2">
      <c r="A56" s="117" t="s">
        <v>560</v>
      </c>
      <c r="B56" s="117" t="s">
        <v>57</v>
      </c>
    </row>
    <row r="57" spans="1:2">
      <c r="A57" s="117" t="s">
        <v>561</v>
      </c>
      <c r="B57" s="117" t="s">
        <v>58</v>
      </c>
    </row>
    <row r="58" spans="1:2">
      <c r="A58" s="117" t="s">
        <v>562</v>
      </c>
      <c r="B58" s="117" t="s">
        <v>59</v>
      </c>
    </row>
    <row r="59" spans="1:2">
      <c r="A59" s="117" t="s">
        <v>563</v>
      </c>
      <c r="B59" s="117" t="s">
        <v>60</v>
      </c>
    </row>
    <row r="60" spans="1:2">
      <c r="A60" s="117" t="s">
        <v>564</v>
      </c>
      <c r="B60" s="117" t="s">
        <v>61</v>
      </c>
    </row>
    <row r="61" spans="1:2">
      <c r="A61" s="117" t="s">
        <v>69</v>
      </c>
      <c r="B61" s="117" t="s">
        <v>62</v>
      </c>
    </row>
    <row r="62" spans="1:2">
      <c r="A62" s="117" t="s">
        <v>70</v>
      </c>
      <c r="B62" s="117" t="s">
        <v>63</v>
      </c>
    </row>
    <row r="63" spans="1:2">
      <c r="A63" s="117" t="s">
        <v>71</v>
      </c>
      <c r="B63" s="117" t="s">
        <v>64</v>
      </c>
    </row>
    <row r="65" spans="1:2">
      <c r="A65" s="54" t="s">
        <v>294</v>
      </c>
    </row>
    <row r="66" spans="1:2">
      <c r="A66" s="118" t="s">
        <v>361</v>
      </c>
      <c r="B66" s="118" t="s">
        <v>362</v>
      </c>
    </row>
    <row r="67" spans="1:2">
      <c r="A67" s="118" t="s">
        <v>363</v>
      </c>
      <c r="B67" s="118" t="s">
        <v>364</v>
      </c>
    </row>
    <row r="68" spans="1:2">
      <c r="A68" s="118" t="s">
        <v>124</v>
      </c>
      <c r="B68" s="118" t="s">
        <v>125</v>
      </c>
    </row>
    <row r="69" spans="1:2">
      <c r="A69" s="118" t="s">
        <v>365</v>
      </c>
      <c r="B69" s="118" t="s">
        <v>366</v>
      </c>
    </row>
    <row r="70" spans="1:2">
      <c r="A70" s="118" t="s">
        <v>367</v>
      </c>
      <c r="B70" s="118" t="s">
        <v>368</v>
      </c>
    </row>
    <row r="71" spans="1:2">
      <c r="A71" s="118" t="s">
        <v>369</v>
      </c>
      <c r="B71" s="118" t="s">
        <v>370</v>
      </c>
    </row>
    <row r="72" spans="1:2">
      <c r="A72" s="118" t="s">
        <v>371</v>
      </c>
      <c r="B72" s="118" t="s">
        <v>372</v>
      </c>
    </row>
    <row r="73" spans="1:2">
      <c r="A73" s="118" t="s">
        <v>373</v>
      </c>
      <c r="B73" s="118" t="s">
        <v>374</v>
      </c>
    </row>
    <row r="74" spans="1:2">
      <c r="A74" s="118" t="s">
        <v>375</v>
      </c>
      <c r="B74" s="118" t="s">
        <v>376</v>
      </c>
    </row>
    <row r="75" spans="1:2">
      <c r="A75" s="118" t="s">
        <v>377</v>
      </c>
      <c r="B75" s="118" t="s">
        <v>378</v>
      </c>
    </row>
    <row r="76" spans="1:2">
      <c r="A76" s="118" t="s">
        <v>126</v>
      </c>
      <c r="B76" s="118" t="s">
        <v>127</v>
      </c>
    </row>
    <row r="77" spans="1:2">
      <c r="A77" s="118" t="s">
        <v>379</v>
      </c>
      <c r="B77" s="118" t="s">
        <v>380</v>
      </c>
    </row>
    <row r="78" spans="1:2">
      <c r="A78" s="118" t="s">
        <v>381</v>
      </c>
      <c r="B78" s="118" t="s">
        <v>382</v>
      </c>
    </row>
    <row r="79" spans="1:2">
      <c r="A79" s="118" t="s">
        <v>383</v>
      </c>
      <c r="B79" s="118" t="s">
        <v>384</v>
      </c>
    </row>
    <row r="80" spans="1:2">
      <c r="A80" s="118" t="s">
        <v>385</v>
      </c>
      <c r="B80" s="118" t="s">
        <v>386</v>
      </c>
    </row>
    <row r="81" spans="1:2">
      <c r="A81" s="118" t="s">
        <v>387</v>
      </c>
      <c r="B81" s="118" t="s">
        <v>388</v>
      </c>
    </row>
    <row r="82" spans="1:2">
      <c r="A82" s="118" t="s">
        <v>128</v>
      </c>
      <c r="B82" s="118" t="s">
        <v>129</v>
      </c>
    </row>
    <row r="83" spans="1:2">
      <c r="A83" s="118" t="s">
        <v>158</v>
      </c>
      <c r="B83" s="118" t="s">
        <v>159</v>
      </c>
    </row>
    <row r="84" spans="1:2">
      <c r="A84" s="118" t="s">
        <v>160</v>
      </c>
      <c r="B84" s="118" t="s">
        <v>161</v>
      </c>
    </row>
    <row r="85" spans="1:2">
      <c r="A85" s="118" t="s">
        <v>162</v>
      </c>
      <c r="B85" s="118" t="s">
        <v>163</v>
      </c>
    </row>
    <row r="86" spans="1:2">
      <c r="A86" s="118" t="s">
        <v>164</v>
      </c>
      <c r="B86" s="118" t="s">
        <v>165</v>
      </c>
    </row>
    <row r="87" spans="1:2">
      <c r="A87" s="118" t="s">
        <v>166</v>
      </c>
      <c r="B87" s="118" t="s">
        <v>167</v>
      </c>
    </row>
    <row r="88" spans="1:2">
      <c r="A88" s="118" t="s">
        <v>168</v>
      </c>
      <c r="B88" s="118" t="s">
        <v>169</v>
      </c>
    </row>
    <row r="89" spans="1:2">
      <c r="A89" s="118" t="s">
        <v>170</v>
      </c>
      <c r="B89" s="118" t="s">
        <v>171</v>
      </c>
    </row>
    <row r="90" spans="1:2">
      <c r="A90" s="118" t="s">
        <v>172</v>
      </c>
      <c r="B90" s="118" t="s">
        <v>173</v>
      </c>
    </row>
  </sheetData>
  <sheetProtection sheet="1" objects="1" scenarios="1"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sheetPr codeName="Tabelle2" enableFormatConditionsCalculation="0">
    <tabColor indexed="9"/>
    <pageSetUpPr fitToPage="1"/>
  </sheetPr>
  <dimension ref="A1:M113"/>
  <sheetViews>
    <sheetView zoomScaleNormal="100" workbookViewId="0">
      <pane ySplit="3" topLeftCell="A37" activePane="bottomLeft" state="frozen"/>
      <selection pane="bottomLeft" activeCell="G1" sqref="G1:H1"/>
    </sheetView>
  </sheetViews>
  <sheetFormatPr defaultColWidth="11.42578125" defaultRowHeight="12.75"/>
  <cols>
    <col min="1" max="2" width="4.7109375" style="7" customWidth="1"/>
    <col min="3" max="12" width="12.7109375" style="7" customWidth="1"/>
    <col min="13" max="13" width="4.7109375" style="7" customWidth="1"/>
    <col min="14" max="16384" width="11.42578125" style="7"/>
  </cols>
  <sheetData>
    <row r="1" spans="1:13" s="59" customFormat="1" ht="13.5" thickBot="1">
      <c r="A1" s="1353" t="str">
        <f>Translations!$B$22</f>
        <v>b.
Guide-lines</v>
      </c>
      <c r="B1" s="1354"/>
      <c r="C1" s="1363" t="str">
        <f>Translations!$B$23</f>
        <v>Naršymo laukas</v>
      </c>
      <c r="D1" s="1364"/>
      <c r="E1" s="1366" t="str">
        <f>Translations!$B$24</f>
        <v>Turinys</v>
      </c>
      <c r="F1" s="1367"/>
      <c r="G1" s="1366" t="str">
        <f>Translations!$B$25</f>
        <v>Ankstesnis lapas</v>
      </c>
      <c r="H1" s="1367"/>
      <c r="I1" s="1366" t="str">
        <f>Translations!$B$26</f>
        <v>Kitas lapas</v>
      </c>
      <c r="J1" s="1367"/>
      <c r="K1" s="1368"/>
      <c r="L1" s="1369"/>
      <c r="M1" s="2"/>
    </row>
    <row r="2" spans="1:13" s="59" customFormat="1">
      <c r="A2" s="1355"/>
      <c r="B2" s="1356"/>
      <c r="C2" s="1362" t="str">
        <f>Translations!$B$27</f>
        <v>Lapo viršus</v>
      </c>
      <c r="D2" s="1359"/>
      <c r="E2" s="1359"/>
      <c r="F2" s="1359"/>
      <c r="G2" s="1359"/>
      <c r="H2" s="1359"/>
      <c r="I2" s="1359"/>
      <c r="J2" s="1359"/>
      <c r="K2" s="1360"/>
      <c r="L2" s="1361"/>
      <c r="M2" s="2"/>
    </row>
    <row r="3" spans="1:13" s="59" customFormat="1" ht="13.5" thickBot="1">
      <c r="A3" s="1357"/>
      <c r="B3" s="1358"/>
      <c r="C3" s="1362" t="str">
        <f>Translations!$B$28</f>
        <v>Lapo galas</v>
      </c>
      <c r="D3" s="1359"/>
      <c r="E3" s="1359"/>
      <c r="F3" s="1359"/>
      <c r="G3" s="1359"/>
      <c r="H3" s="1359"/>
      <c r="I3" s="1359"/>
      <c r="J3" s="1359"/>
      <c r="K3" s="1360"/>
      <c r="L3" s="1361"/>
      <c r="M3" s="2"/>
    </row>
    <row r="4" spans="1:13" s="28" customFormat="1" ht="15.75" customHeight="1">
      <c r="B4" s="158"/>
      <c r="C4" s="488"/>
    </row>
    <row r="5" spans="1:13" ht="18">
      <c r="B5" s="1370" t="str">
        <f>Translations!$B$29</f>
        <v>GAIRĖS IR SĄLYGOS</v>
      </c>
      <c r="C5" s="1370"/>
      <c r="D5" s="1370"/>
      <c r="E5" s="1370"/>
      <c r="F5" s="1370"/>
      <c r="G5" s="1370"/>
      <c r="H5" s="1370"/>
      <c r="I5" s="1370"/>
      <c r="J5" s="1370"/>
    </row>
    <row r="6" spans="1:13">
      <c r="B6" s="1374"/>
      <c r="C6" s="1374"/>
      <c r="D6" s="1374"/>
      <c r="E6" s="1374"/>
      <c r="F6" s="1374"/>
      <c r="G6" s="1374"/>
      <c r="H6" s="1374"/>
      <c r="I6" s="1374"/>
      <c r="J6" s="1374"/>
      <c r="K6" s="1374"/>
      <c r="L6" s="1374"/>
    </row>
    <row r="7" spans="1:13">
      <c r="A7" s="188">
        <v>1</v>
      </c>
      <c r="B7" s="1336" t="str">
        <f>Translations!$B$38</f>
        <v>Prieš pradėdami naudotis šiuo failu, atlikite tokius veiksmus:</v>
      </c>
      <c r="C7" s="1336"/>
      <c r="D7" s="1336"/>
      <c r="E7" s="1336"/>
      <c r="F7" s="1336"/>
      <c r="G7" s="1336"/>
      <c r="H7" s="1336"/>
      <c r="I7" s="1336"/>
      <c r="J7" s="1336"/>
      <c r="K7" s="1336"/>
      <c r="L7" s="1336"/>
    </row>
    <row r="8" spans="1:13">
      <c r="A8" s="188"/>
      <c r="B8" s="192" t="s">
        <v>1</v>
      </c>
      <c r="C8" s="1341" t="str">
        <f>Translations!$B$39</f>
        <v>Atidžiai perskaitykite šablono pildymo instrukcijas.</v>
      </c>
      <c r="D8" s="1341"/>
      <c r="E8" s="1341"/>
      <c r="F8" s="1341"/>
      <c r="G8" s="1341"/>
      <c r="H8" s="1341"/>
      <c r="I8" s="1341"/>
      <c r="J8" s="1341"/>
      <c r="K8" s="1341"/>
      <c r="L8" s="1341"/>
    </row>
    <row r="9" spans="1:13" ht="29.25" customHeight="1">
      <c r="A9" s="188"/>
      <c r="B9" s="192" t="s">
        <v>2</v>
      </c>
      <c r="C9" s="1326"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6"/>
      <c r="E9" s="1326"/>
      <c r="F9" s="1326"/>
      <c r="G9" s="1326"/>
      <c r="H9" s="1326"/>
      <c r="I9" s="1326"/>
      <c r="J9" s="1326"/>
      <c r="K9" s="1326"/>
      <c r="L9" s="1326"/>
    </row>
    <row r="10" spans="1:13" ht="30.75" customHeight="1">
      <c r="A10" s="188"/>
      <c r="B10" s="192" t="s">
        <v>44</v>
      </c>
      <c r="C10" s="1326" t="str">
        <f>Translations!$B$41</f>
        <v>Patikrinkite KI tinklalapyje arba tiesiogiai susisiekite su KI ir sužinokite, ar turite reikiamą šablono versiją. Šablono versija (ypač failo pavadinimas) yra aiškiai nurodyta šio failo tituliniame puslapyje.</v>
      </c>
      <c r="D10" s="1326"/>
      <c r="E10" s="1326"/>
      <c r="F10" s="1326"/>
      <c r="G10" s="1326"/>
      <c r="H10" s="1326"/>
      <c r="I10" s="1326"/>
      <c r="J10" s="1326"/>
      <c r="K10" s="1326"/>
      <c r="L10" s="1326"/>
    </row>
    <row r="11" spans="1:13" ht="29.25" customHeight="1">
      <c r="A11" s="188"/>
      <c r="B11" s="192" t="s">
        <v>3</v>
      </c>
      <c r="C11" s="1326"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6"/>
      <c r="E11" s="1326"/>
      <c r="F11" s="1326"/>
      <c r="G11" s="1326"/>
      <c r="H11" s="1326"/>
      <c r="I11" s="1326"/>
      <c r="J11" s="1326"/>
      <c r="K11" s="1326"/>
      <c r="L11" s="1326"/>
    </row>
    <row r="12" spans="1:13" ht="42" customHeight="1">
      <c r="A12" s="188">
        <v>2</v>
      </c>
      <c r="B12" s="1326"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6"/>
      <c r="D12" s="1326"/>
      <c r="E12" s="1326"/>
      <c r="F12" s="1326"/>
      <c r="G12" s="1326"/>
      <c r="H12" s="1326"/>
      <c r="I12" s="1326"/>
      <c r="J12" s="1326"/>
      <c r="K12" s="1326"/>
      <c r="L12" s="1326"/>
      <c r="M12" s="1088"/>
    </row>
    <row r="13" spans="1:13" ht="12.75" customHeight="1">
      <c r="A13" s="188"/>
      <c r="B13" s="1326" t="str">
        <f>Translations!$B$30</f>
        <v>Direktyvos tekstą galima atsisiųsti iš</v>
      </c>
      <c r="C13" s="1326"/>
      <c r="D13" s="1326"/>
      <c r="E13" s="1326"/>
      <c r="F13" s="1326"/>
      <c r="G13" s="1326"/>
      <c r="H13" s="1326"/>
      <c r="I13" s="1326"/>
      <c r="J13" s="1326"/>
      <c r="K13" s="1326"/>
      <c r="L13" s="1326"/>
    </row>
    <row r="14" spans="1:13">
      <c r="A14" s="189"/>
      <c r="B14" s="1375" t="s">
        <v>1298</v>
      </c>
      <c r="C14" s="1351"/>
      <c r="D14" s="1351"/>
      <c r="E14" s="1351"/>
      <c r="F14" s="1351"/>
      <c r="G14" s="1351"/>
      <c r="H14" s="1351"/>
      <c r="I14" s="1351"/>
      <c r="J14" s="1351"/>
      <c r="K14" s="1351"/>
      <c r="L14" s="1343"/>
    </row>
    <row r="15" spans="1:13" ht="5.0999999999999996" customHeight="1">
      <c r="A15" s="189"/>
      <c r="B15" s="286"/>
      <c r="C15" s="286"/>
      <c r="D15" s="286"/>
      <c r="E15" s="286"/>
      <c r="F15" s="286"/>
      <c r="G15" s="286"/>
      <c r="H15" s="286"/>
      <c r="I15" s="286"/>
      <c r="J15" s="286"/>
      <c r="K15" s="286"/>
      <c r="L15" s="340"/>
    </row>
    <row r="16" spans="1:13" ht="26.25" customHeight="1">
      <c r="A16" s="188">
        <v>3</v>
      </c>
      <c r="B16" s="1326" t="str">
        <f>Translations!$B$32</f>
        <v>Stebėsenos ir ataskaitų reglamente (2012 m. birželio 21 d. Komisijos reglamentas (ES) Nr. 601/2012) (toliau – „SAR“) išsamiau nustatyti stebėsenos ir atskaitų teikimo reikalavimai. SAR tekstą galima atsisiųsti iš</v>
      </c>
      <c r="C16" s="1326"/>
      <c r="D16" s="1326"/>
      <c r="E16" s="1326"/>
      <c r="F16" s="1326"/>
      <c r="G16" s="1326"/>
      <c r="H16" s="1326"/>
      <c r="I16" s="1326"/>
      <c r="J16" s="1326"/>
      <c r="K16" s="1326"/>
      <c r="L16" s="1326"/>
    </row>
    <row r="17" spans="1:13" ht="12.75" customHeight="1">
      <c r="A17" s="188"/>
      <c r="B17" s="1375" t="s">
        <v>1298</v>
      </c>
      <c r="C17" s="1351"/>
      <c r="D17" s="1351"/>
      <c r="E17" s="1351"/>
      <c r="F17" s="1351"/>
      <c r="G17" s="1351"/>
      <c r="H17" s="1351"/>
      <c r="I17" s="1351"/>
      <c r="J17" s="1351"/>
      <c r="K17" s="1351"/>
      <c r="L17" s="1343"/>
    </row>
    <row r="18" spans="1:13">
      <c r="A18" s="188"/>
      <c r="B18" s="1326" t="str">
        <f>Translations!$B$511</f>
        <v>Stebėsenos ir ataskaitų reglamento (SAR) 67 straipsnio 3 dalyje reikalaujama:</v>
      </c>
      <c r="C18" s="1326"/>
      <c r="D18" s="1326"/>
      <c r="E18" s="1326"/>
      <c r="F18" s="1326"/>
      <c r="G18" s="1326"/>
      <c r="H18" s="1326"/>
      <c r="I18" s="1326"/>
      <c r="J18" s="1326"/>
      <c r="K18" s="1326"/>
      <c r="L18" s="1326"/>
    </row>
    <row r="19" spans="1:13" ht="12.75" customHeight="1">
      <c r="A19" s="188"/>
      <c r="B19" s="1352" t="str">
        <f>Translations!$B$512</f>
        <v>„Metinėse išmetamųjų ŠESD kiekio ataskaitose ir tonkilometrių duomenų ataskaitose pateikiama bent X priede nurodyta informacija.“</v>
      </c>
      <c r="C19" s="1352"/>
      <c r="D19" s="1352"/>
      <c r="E19" s="1352"/>
      <c r="F19" s="1352"/>
      <c r="G19" s="1352"/>
      <c r="H19" s="1352"/>
      <c r="I19" s="1352"/>
      <c r="J19" s="1352"/>
      <c r="K19" s="1352"/>
      <c r="L19" s="1352"/>
    </row>
    <row r="20" spans="1:13" ht="12.75" customHeight="1">
      <c r="A20" s="188"/>
      <c r="B20" s="1326" t="str">
        <f>Translations!$B$513</f>
        <v>X priede nustatytas būtinasis metinių išmetamųjų ŠESD kiekio ataskaitų turinys.</v>
      </c>
      <c r="C20" s="1326"/>
      <c r="D20" s="1326"/>
      <c r="E20" s="1326"/>
      <c r="F20" s="1326"/>
      <c r="G20" s="1326"/>
      <c r="H20" s="1326"/>
      <c r="I20" s="1326"/>
      <c r="J20" s="1326"/>
      <c r="K20" s="1326"/>
      <c r="L20" s="1326"/>
    </row>
    <row r="21" spans="1:13">
      <c r="A21" s="188"/>
      <c r="B21" s="1326" t="str">
        <f>Translations!$B$34</f>
        <v>Be to, 74 str. 1 dalyje teigiama:</v>
      </c>
      <c r="C21" s="1326"/>
      <c r="D21" s="1326"/>
      <c r="E21" s="1326"/>
      <c r="F21" s="1326"/>
      <c r="G21" s="1326"/>
      <c r="H21" s="1326"/>
      <c r="I21" s="1326"/>
      <c r="J21" s="1326"/>
      <c r="K21" s="1326"/>
      <c r="L21" s="1326"/>
    </row>
    <row r="22" spans="1:13" ht="69.95" customHeight="1">
      <c r="A22" s="188"/>
      <c r="B22" s="135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2"/>
      <c r="D22" s="1352"/>
      <c r="E22" s="1352"/>
      <c r="F22" s="1352"/>
      <c r="G22" s="1352"/>
      <c r="H22" s="1352"/>
      <c r="I22" s="1352"/>
      <c r="J22" s="1352"/>
      <c r="K22" s="1352"/>
      <c r="L22" s="1352"/>
    </row>
    <row r="23" spans="1:13" ht="42" customHeight="1">
      <c r="A23" s="188">
        <v>4</v>
      </c>
      <c r="B23" s="1326"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6"/>
      <c r="D23" s="1326"/>
      <c r="E23" s="1326"/>
      <c r="F23" s="1326"/>
      <c r="G23" s="1326"/>
      <c r="H23" s="1326"/>
      <c r="I23" s="1326"/>
      <c r="J23" s="1326"/>
      <c r="K23" s="1326"/>
      <c r="L23" s="1326"/>
    </row>
    <row r="24" spans="1:13" ht="12.75" customHeight="1">
      <c r="A24" s="188"/>
      <c r="B24" s="1336" t="str">
        <f>Translations!$B$515</f>
        <v>Ataskaitos šablonas turi būti parengtas neperžengiant SAR reikalavimų. Todėl reikėtų atsižvelgti ir į toliau pateiktame šablone naudojamą spalvinį žymėjimą.</v>
      </c>
      <c r="C24" s="1336"/>
      <c r="D24" s="1336"/>
      <c r="E24" s="1336"/>
      <c r="F24" s="1336"/>
      <c r="G24" s="1336"/>
      <c r="H24" s="1336"/>
      <c r="I24" s="1336"/>
      <c r="J24" s="1336"/>
      <c r="K24" s="1336"/>
      <c r="L24" s="1336"/>
      <c r="M24" s="1088"/>
    </row>
    <row r="25" spans="1:13" ht="15.95" customHeight="1">
      <c r="A25" s="188"/>
      <c r="B25" s="1326" t="str">
        <f>Translations!$B$516</f>
        <v xml:space="preserve">Šis ataskaitos šablonas parengtas atsižvelgiant į Komisijos tarnybų nuomonę, išreikštą paskelbimo metu. </v>
      </c>
      <c r="C25" s="1326"/>
      <c r="D25" s="1326"/>
      <c r="E25" s="1326"/>
      <c r="F25" s="1326"/>
      <c r="G25" s="1326"/>
      <c r="H25" s="1326"/>
      <c r="I25" s="1326"/>
      <c r="J25" s="1326"/>
      <c r="K25" s="1326"/>
      <c r="L25" s="1326"/>
    </row>
    <row r="26" spans="1:13" ht="12.75" customHeight="1">
      <c r="A26" s="188"/>
      <c r="B26" s="1326"/>
      <c r="C26" s="1326"/>
      <c r="D26" s="1326"/>
      <c r="E26" s="1326"/>
      <c r="F26" s="1326"/>
      <c r="G26" s="1326"/>
      <c r="H26" s="1326"/>
      <c r="I26" s="1326"/>
      <c r="J26" s="1326"/>
      <c r="K26" s="1326"/>
      <c r="L26" s="1326"/>
    </row>
    <row r="27" spans="1:13" ht="12.75" customHeight="1">
      <c r="A27" s="188">
        <v>5</v>
      </c>
      <c r="B27" s="1336" t="str">
        <f>Translations!$B$517</f>
        <v>Užpildžius metinės išmetamųjų ŠESD kiekio ataskaitos šabloną, būtina atlikti šiuos veiksmus:</v>
      </c>
      <c r="C27" s="1336"/>
      <c r="D27" s="1336"/>
      <c r="E27" s="1336"/>
      <c r="F27" s="1336"/>
      <c r="G27" s="1336"/>
      <c r="H27" s="1336"/>
      <c r="I27" s="1336"/>
      <c r="J27" s="1336"/>
      <c r="K27" s="1336"/>
      <c r="L27" s="1336"/>
      <c r="M27" s="1088"/>
    </row>
    <row r="28" spans="1:13" ht="12.75" customHeight="1">
      <c r="A28" s="188"/>
      <c r="B28" s="1089" t="s">
        <v>1</v>
      </c>
      <c r="C28" s="1336" t="str">
        <f>Translations!$B$518</f>
        <v>perduoti šabloną vertintojui, kad šis jį patikrintų pagal SAR 67 straipsnio 1 dalį;</v>
      </c>
      <c r="D28" s="1336"/>
      <c r="E28" s="1336"/>
      <c r="F28" s="1336"/>
      <c r="G28" s="1336"/>
      <c r="H28" s="1336"/>
      <c r="I28" s="1336"/>
      <c r="J28" s="1336"/>
      <c r="K28" s="1336"/>
      <c r="L28" s="1336"/>
      <c r="M28" s="1088"/>
    </row>
    <row r="29" spans="1:13" ht="25.5" customHeight="1">
      <c r="A29" s="188"/>
      <c r="B29" s="1089" t="s">
        <v>2</v>
      </c>
      <c r="C29" s="1336" t="str">
        <f>Translations!$B$519</f>
        <v>vertintojo pagal Reglamentą (ES) Nr. 600/2012 patikrinta versija pateikiama kompetentingai institucijai iki kiekvienų metų kovo 31 d., jeigu ta institucija nepareikalauja pateikti patikrintą išmetamųjų ŠESD kiekio ataskaitą anksčiau.</v>
      </c>
      <c r="D29" s="1336"/>
      <c r="E29" s="1336"/>
      <c r="F29" s="1336"/>
      <c r="G29" s="1336"/>
      <c r="H29" s="1336"/>
      <c r="I29" s="1336"/>
      <c r="J29" s="1336"/>
      <c r="K29" s="1336"/>
      <c r="L29" s="1336"/>
      <c r="M29" s="1088"/>
    </row>
    <row r="30" spans="1:13" ht="12.75" customHeight="1">
      <c r="A30" s="188"/>
      <c r="B30" s="1089"/>
      <c r="C30" s="1084"/>
      <c r="D30" s="1084"/>
      <c r="E30" s="1084"/>
      <c r="F30" s="1084"/>
      <c r="G30" s="1084"/>
      <c r="H30" s="1084"/>
      <c r="I30" s="1084"/>
      <c r="J30" s="1084"/>
      <c r="K30" s="1084"/>
      <c r="L30" s="1084"/>
      <c r="M30" s="1088"/>
    </row>
    <row r="31" spans="1:13" ht="38.25" customHeight="1">
      <c r="A31" s="188"/>
      <c r="B31" s="1371" t="str">
        <f>Translations!$B$520</f>
        <v>Tai galutinė įrenginiams skirto išmetamųjų ŠESD kiekio ataskaitos šablono versija, Klimato kaitos komiteto patvirtinta 2015 m. gruodžio 18 d. posėdyje.</v>
      </c>
      <c r="C31" s="1372"/>
      <c r="D31" s="1372"/>
      <c r="E31" s="1372"/>
      <c r="F31" s="1372"/>
      <c r="G31" s="1372"/>
      <c r="H31" s="1372"/>
      <c r="I31" s="1372"/>
      <c r="J31" s="1372"/>
      <c r="K31" s="1372"/>
      <c r="L31" s="1373"/>
    </row>
    <row r="32" spans="1:13" ht="12.75" customHeight="1">
      <c r="A32" s="188"/>
      <c r="B32" s="1326"/>
      <c r="C32" s="1326"/>
      <c r="D32" s="1326"/>
      <c r="E32" s="1326"/>
      <c r="F32" s="1326"/>
      <c r="G32" s="1326"/>
      <c r="H32" s="1326"/>
      <c r="I32" s="1326"/>
      <c r="J32" s="1326"/>
      <c r="K32" s="1326"/>
      <c r="L32" s="1326"/>
    </row>
    <row r="33" spans="1:12" ht="12.75" customHeight="1">
      <c r="A33" s="188">
        <v>6</v>
      </c>
      <c r="B33" s="1326" t="str">
        <f>Translations!$B$36</f>
        <v>Visi Komisijos rekomendaciniai dokumentai dėl SAR pateikiami</v>
      </c>
      <c r="C33" s="1326"/>
      <c r="D33" s="1326"/>
      <c r="E33" s="1326"/>
      <c r="F33" s="1326"/>
      <c r="G33" s="1326"/>
      <c r="H33" s="1326"/>
      <c r="I33" s="1326"/>
      <c r="J33" s="1326"/>
      <c r="K33" s="1326"/>
      <c r="L33" s="1326"/>
    </row>
    <row r="34" spans="1:12" ht="12.75" customHeight="1">
      <c r="A34" s="188"/>
      <c r="B34" s="1351" t="str">
        <f>Translations!$B$521</f>
        <v>http://ec.europa.eu/clima/policies/ets/monitoring/documentation_en.htm</v>
      </c>
      <c r="C34" s="1351"/>
      <c r="D34" s="1351"/>
      <c r="E34" s="1351"/>
      <c r="F34" s="1351"/>
      <c r="G34" s="1351"/>
      <c r="H34" s="1351"/>
      <c r="I34" s="1351"/>
      <c r="J34" s="1351"/>
      <c r="K34" s="1351"/>
      <c r="L34" s="1343"/>
    </row>
    <row r="35" spans="1:12">
      <c r="A35" s="188"/>
      <c r="B35" s="190"/>
      <c r="C35" s="190"/>
      <c r="D35" s="190"/>
      <c r="E35" s="190"/>
      <c r="F35" s="190"/>
      <c r="G35" s="190"/>
      <c r="H35" s="190"/>
      <c r="I35" s="190"/>
      <c r="J35" s="190"/>
      <c r="K35" s="190"/>
      <c r="L35" s="191"/>
    </row>
    <row r="36" spans="1:12" ht="15" customHeight="1">
      <c r="A36" s="188">
        <v>7</v>
      </c>
      <c r="B36" s="1326" t="str">
        <f>Translations!$B$522</f>
        <v>Šis ataskaitos šablonas turi būti pateiktas Jūsų kompetentingai institucijai šiuo adresu:</v>
      </c>
      <c r="C36" s="1326"/>
      <c r="D36" s="1326"/>
      <c r="E36" s="1326"/>
      <c r="F36" s="1326"/>
      <c r="G36" s="1326"/>
      <c r="H36" s="1326"/>
      <c r="I36" s="1326"/>
      <c r="J36" s="1326"/>
      <c r="K36" s="1326"/>
      <c r="L36" s="1326"/>
    </row>
    <row r="37" spans="1:12">
      <c r="A37" s="188"/>
      <c r="B37" s="193"/>
      <c r="C37" s="193"/>
      <c r="D37" s="193"/>
      <c r="E37" s="193"/>
      <c r="F37" s="193"/>
      <c r="G37" s="193"/>
      <c r="H37" s="193"/>
      <c r="I37" s="193"/>
      <c r="J37" s="193"/>
      <c r="K37" s="193"/>
      <c r="L37" s="194"/>
    </row>
    <row r="38" spans="1:12">
      <c r="E38" s="1349" t="str">
        <f>Translations!$B$43</f>
        <v>Išsamų adresą pateikia valstybė narė.</v>
      </c>
      <c r="F38" s="1349"/>
      <c r="G38" s="1349"/>
      <c r="H38" s="1349"/>
    </row>
    <row r="39" spans="1:12">
      <c r="E39" s="1350"/>
      <c r="F39" s="1350"/>
      <c r="G39" s="1350"/>
      <c r="H39" s="1350"/>
    </row>
    <row r="40" spans="1:12">
      <c r="E40" s="1350"/>
      <c r="F40" s="1350"/>
      <c r="G40" s="1350"/>
      <c r="H40" s="1350"/>
    </row>
    <row r="41" spans="1:12">
      <c r="E41" s="1350"/>
      <c r="F41" s="1350"/>
      <c r="G41" s="1350"/>
      <c r="H41" s="1350"/>
    </row>
    <row r="42" spans="1:12">
      <c r="E42" s="1350"/>
      <c r="F42" s="1350"/>
      <c r="G42" s="1350"/>
      <c r="H42" s="1350"/>
    </row>
    <row r="43" spans="1:12">
      <c r="E43" s="1350"/>
      <c r="F43" s="1350"/>
      <c r="G43" s="1350"/>
      <c r="H43" s="1350"/>
    </row>
    <row r="44" spans="1:12">
      <c r="E44" s="1350"/>
      <c r="F44" s="1350"/>
      <c r="G44" s="1350"/>
      <c r="H44" s="1350"/>
    </row>
    <row r="45" spans="1:12">
      <c r="E45" s="1350"/>
      <c r="F45" s="1350"/>
      <c r="G45" s="1350"/>
      <c r="H45" s="1350"/>
    </row>
    <row r="47" spans="1:12" ht="25.5" customHeight="1">
      <c r="A47" s="188">
        <v>8</v>
      </c>
      <c r="B47" s="1326"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6"/>
      <c r="D47" s="1326"/>
      <c r="E47" s="1326"/>
      <c r="F47" s="1326"/>
      <c r="G47" s="1326"/>
      <c r="H47" s="1326"/>
      <c r="I47" s="1326"/>
      <c r="J47" s="1326"/>
      <c r="K47" s="1326"/>
      <c r="L47" s="1326"/>
    </row>
    <row r="48" spans="1:12" ht="63.75" customHeight="1">
      <c r="A48" s="188">
        <v>9</v>
      </c>
      <c r="B48" s="1343"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4"/>
      <c r="D48" s="1344"/>
      <c r="E48" s="1344"/>
      <c r="F48" s="1344"/>
      <c r="G48" s="1344"/>
      <c r="H48" s="1344"/>
      <c r="I48" s="1344"/>
      <c r="J48" s="1344"/>
      <c r="K48" s="1344"/>
      <c r="L48" s="1344"/>
    </row>
    <row r="49" spans="1:12">
      <c r="A49" s="188"/>
      <c r="B49" s="190"/>
      <c r="C49" s="190"/>
      <c r="D49" s="190"/>
      <c r="E49" s="1058"/>
      <c r="F49" s="190"/>
      <c r="G49" s="190"/>
      <c r="H49" s="190"/>
      <c r="I49" s="190"/>
      <c r="J49" s="190"/>
      <c r="K49" s="190"/>
      <c r="L49" s="191"/>
    </row>
    <row r="50" spans="1:12" ht="15">
      <c r="A50" s="188">
        <v>10</v>
      </c>
      <c r="B50" s="1345" t="str">
        <f>Translations!$B$44</f>
        <v>Informacijos šaltiniai:</v>
      </c>
      <c r="C50" s="1345"/>
      <c r="D50" s="1345"/>
      <c r="E50" s="1345"/>
      <c r="F50" s="1345"/>
      <c r="G50" s="1345"/>
      <c r="H50" s="1345"/>
      <c r="I50" s="1345"/>
      <c r="J50" s="1345"/>
      <c r="K50" s="1345"/>
      <c r="L50" s="1345"/>
    </row>
    <row r="51" spans="1:12">
      <c r="A51" s="188"/>
      <c r="B51" s="195" t="str">
        <f>Translations!$B$45</f>
        <v>ES tinklalapiai:</v>
      </c>
      <c r="C51" s="190"/>
      <c r="D51" s="190"/>
      <c r="E51" s="190"/>
      <c r="F51" s="190"/>
      <c r="G51" s="190"/>
      <c r="H51" s="190"/>
      <c r="I51" s="190"/>
      <c r="J51" s="190"/>
      <c r="K51" s="190"/>
      <c r="L51" s="191"/>
    </row>
    <row r="52" spans="1:12">
      <c r="A52" s="188"/>
      <c r="B52" s="190" t="str">
        <f>Translations!$B$46</f>
        <v>ES teisės aktai:</v>
      </c>
      <c r="C52" s="190"/>
      <c r="D52" s="1346" t="str">
        <f>Translations!$B$47</f>
        <v>http://eur-lex.europa.eu/en/index.htm</v>
      </c>
      <c r="E52" s="1347"/>
      <c r="F52" s="1347"/>
      <c r="G52" s="1347"/>
      <c r="H52" s="1347"/>
      <c r="I52" s="1347"/>
      <c r="J52" s="190"/>
      <c r="K52" s="190"/>
      <c r="L52" s="191"/>
    </row>
    <row r="53" spans="1:12">
      <c r="A53" s="188"/>
      <c r="B53" s="190" t="str">
        <f>Translations!$B$48</f>
        <v>Bendroji informacija apie ES ATLPS</v>
      </c>
      <c r="C53" s="190"/>
      <c r="D53" s="1348" t="str">
        <f>Translations!$B$49</f>
        <v>http://ec.europa.eu/clima/policies/ets/index_en.htm</v>
      </c>
      <c r="E53" s="1348"/>
      <c r="F53" s="1348"/>
      <c r="G53" s="1348"/>
      <c r="H53" s="1348"/>
      <c r="I53" s="1348"/>
      <c r="J53" s="190"/>
      <c r="K53" s="190"/>
      <c r="L53" s="191"/>
    </row>
    <row r="54" spans="1:12">
      <c r="A54" s="188"/>
      <c r="B54" s="190" t="str">
        <f>Translations!$B$50</f>
        <v xml:space="preserve">Stebėsena ir ataskaitų teikimas pagal ES ATLPS </v>
      </c>
      <c r="C54" s="190"/>
      <c r="D54" s="190"/>
      <c r="E54" s="190"/>
      <c r="F54" s="190"/>
      <c r="G54" s="190"/>
      <c r="H54" s="190"/>
      <c r="I54" s="190"/>
      <c r="J54" s="190"/>
      <c r="K54" s="190"/>
      <c r="L54" s="191"/>
    </row>
    <row r="55" spans="1:12">
      <c r="A55" s="188"/>
      <c r="B55" s="190"/>
      <c r="C55" s="190"/>
      <c r="D55" s="1346" t="str">
        <f>Translations!$B$37</f>
        <v>http://ec.europa.eu/clima/policies/ets/monitoring/index_en.htm</v>
      </c>
      <c r="E55" s="1347"/>
      <c r="F55" s="1347"/>
      <c r="G55" s="1347"/>
      <c r="H55" s="1347"/>
      <c r="I55" s="1347"/>
      <c r="J55" s="190"/>
      <c r="K55" s="190"/>
      <c r="L55" s="191"/>
    </row>
    <row r="56" spans="1:12">
      <c r="B56" s="195" t="str">
        <f>Translations!$B$51</f>
        <v>Kitos interneto svetainės</v>
      </c>
    </row>
    <row r="57" spans="1:12">
      <c r="B57" s="1312" t="str">
        <f>Translations!$B$52</f>
        <v>&lt;pateikia valstybės narės&gt;</v>
      </c>
      <c r="C57" s="1313"/>
      <c r="D57" s="1313"/>
      <c r="E57" s="1313"/>
      <c r="F57" s="1313"/>
      <c r="G57" s="1313"/>
      <c r="H57" s="1313"/>
      <c r="I57" s="1313"/>
      <c r="J57" s="1313"/>
      <c r="K57" s="1313"/>
      <c r="L57" s="1313"/>
    </row>
    <row r="58" spans="1:12">
      <c r="B58" s="1312"/>
      <c r="C58" s="1313"/>
      <c r="D58" s="1313"/>
      <c r="E58" s="1313"/>
      <c r="F58" s="1313"/>
      <c r="G58" s="1313"/>
      <c r="H58" s="1313"/>
      <c r="I58" s="1313"/>
      <c r="J58" s="1313"/>
      <c r="K58" s="1313"/>
      <c r="L58" s="1313"/>
    </row>
    <row r="59" spans="1:12">
      <c r="B59" s="195" t="str">
        <f>Translations!$B$53</f>
        <v>Pagalbos tarnyba</v>
      </c>
      <c r="C59" s="200"/>
      <c r="D59" s="200"/>
      <c r="E59" s="200"/>
      <c r="F59" s="200"/>
      <c r="G59" s="200"/>
      <c r="H59" s="200"/>
      <c r="I59" s="200"/>
      <c r="J59" s="200"/>
      <c r="K59" s="200"/>
      <c r="L59" s="201"/>
    </row>
    <row r="60" spans="1:12">
      <c r="B60" s="1312" t="str">
        <f>Translations!$B$54</f>
        <v>&lt;jei taikoma, nurodo valstybės narės&gt;</v>
      </c>
      <c r="C60" s="1313"/>
      <c r="D60" s="1313"/>
      <c r="E60" s="1313"/>
      <c r="F60" s="1313"/>
      <c r="G60" s="1313"/>
      <c r="H60" s="1313"/>
      <c r="I60" s="1313"/>
      <c r="J60" s="1313"/>
      <c r="K60" s="1313"/>
      <c r="L60" s="1313"/>
    </row>
    <row r="61" spans="1:12">
      <c r="B61" s="1312"/>
      <c r="C61" s="1313"/>
      <c r="D61" s="1313"/>
      <c r="E61" s="1313"/>
      <c r="F61" s="1313"/>
      <c r="G61" s="1313"/>
      <c r="H61" s="1313"/>
      <c r="I61" s="1313"/>
      <c r="J61" s="1313"/>
      <c r="K61" s="1313"/>
      <c r="L61" s="1313"/>
    </row>
    <row r="62" spans="1:12" ht="25.5" customHeight="1"/>
    <row r="63" spans="1:12" ht="15.75" customHeight="1">
      <c r="A63" s="188">
        <v>11</v>
      </c>
      <c r="B63" s="1316" t="str">
        <f>Translations!$B$55</f>
        <v>Kaip naudotis šiuo failu</v>
      </c>
      <c r="C63" s="1316"/>
      <c r="D63" s="1316"/>
      <c r="E63" s="1316"/>
      <c r="F63" s="1316"/>
      <c r="G63" s="1316"/>
      <c r="H63" s="1316"/>
      <c r="I63" s="1316"/>
      <c r="J63" s="1316"/>
      <c r="K63" s="1316"/>
      <c r="L63" s="1316"/>
    </row>
    <row r="64" spans="1:12" ht="5.0999999999999996" customHeight="1">
      <c r="A64" s="188"/>
      <c r="B64" s="282"/>
      <c r="C64" s="282"/>
      <c r="D64" s="282"/>
      <c r="E64" s="282"/>
      <c r="F64" s="282"/>
      <c r="G64" s="282"/>
      <c r="H64" s="282"/>
      <c r="I64" s="282"/>
      <c r="J64" s="282"/>
      <c r="K64" s="282"/>
      <c r="L64" s="282"/>
    </row>
    <row r="65" spans="1:12" ht="51" customHeight="1">
      <c r="A65" s="188"/>
      <c r="B65" s="1339"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0"/>
      <c r="D65" s="1340"/>
      <c r="E65" s="1340"/>
      <c r="F65" s="1340"/>
      <c r="G65" s="1340"/>
      <c r="H65" s="1340"/>
      <c r="I65" s="1340"/>
      <c r="J65" s="1340"/>
      <c r="K65" s="1340"/>
      <c r="L65" s="1298"/>
    </row>
    <row r="66" spans="1:12" ht="26.25" customHeight="1">
      <c r="A66" s="188"/>
      <c r="B66" s="1326"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6"/>
      <c r="D66" s="1326"/>
      <c r="E66" s="1326"/>
      <c r="F66" s="1326"/>
      <c r="G66" s="1326"/>
      <c r="H66" s="1326"/>
      <c r="I66" s="1326"/>
      <c r="J66" s="1326"/>
      <c r="K66" s="1326"/>
      <c r="L66" s="1327"/>
    </row>
    <row r="67" spans="1:12" ht="26.25" customHeight="1">
      <c r="A67" s="188"/>
      <c r="B67" s="1326"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6"/>
      <c r="D67" s="1326"/>
      <c r="E67" s="1326"/>
      <c r="F67" s="1326"/>
      <c r="G67" s="1326"/>
      <c r="H67" s="1326"/>
      <c r="I67" s="1326"/>
      <c r="J67" s="1326"/>
      <c r="K67" s="1326"/>
      <c r="L67" s="1327"/>
    </row>
    <row r="68" spans="1:12" ht="43.5" customHeight="1">
      <c r="A68" s="188"/>
      <c r="B68" s="1326"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6"/>
      <c r="D68" s="1326"/>
      <c r="E68" s="1326"/>
      <c r="F68" s="1326"/>
      <c r="G68" s="1326"/>
      <c r="H68" s="1326"/>
      <c r="I68" s="1326"/>
      <c r="J68" s="1326"/>
      <c r="K68" s="1326"/>
      <c r="L68" s="1327"/>
    </row>
    <row r="69" spans="1:12">
      <c r="A69" s="188"/>
      <c r="B69" s="1341" t="str">
        <f>Translations!$B$58</f>
        <v>Spalvų kodai ir šriftai</v>
      </c>
      <c r="C69" s="1341"/>
      <c r="D69" s="1341"/>
      <c r="E69" s="1341"/>
      <c r="F69" s="1341"/>
      <c r="G69" s="1341"/>
      <c r="H69" s="1341"/>
      <c r="I69" s="1341"/>
      <c r="J69" s="1341"/>
      <c r="K69" s="1341"/>
      <c r="L69" s="1342"/>
    </row>
    <row r="70" spans="1:12">
      <c r="C70" s="1298" t="str">
        <f>Translations!$B$59</f>
        <v>Juodas paryškintas tekstas.</v>
      </c>
      <c r="D70" s="1313"/>
      <c r="E70" s="1326" t="str">
        <f>Translations!$B$60</f>
        <v>Toks tekstas – tai Komisijos šablono tekstas. Jis turi likti toks, koks yra.</v>
      </c>
      <c r="F70" s="1326"/>
      <c r="G70" s="1326"/>
      <c r="H70" s="1326"/>
      <c r="I70" s="1326"/>
      <c r="J70" s="1326"/>
      <c r="K70" s="1326"/>
      <c r="L70" s="1327"/>
    </row>
    <row r="71" spans="1:12">
      <c r="C71" s="1338" t="str">
        <f>Translations!$B$61</f>
        <v>Smulkesnis  tekstas pasviruoju šriftu:</v>
      </c>
      <c r="D71" s="1338"/>
      <c r="E71" s="1326" t="str">
        <f>Translations!$B$62</f>
        <v>Tokio šrifto tekstu pateikiama daugiau paaiškinimų. Valstybės narės gali įrašyti daugiau paaiškinimų savo šablono versijose.</v>
      </c>
      <c r="F71" s="1326"/>
      <c r="G71" s="1326"/>
      <c r="H71" s="1326"/>
      <c r="I71" s="1326"/>
      <c r="J71" s="1326"/>
      <c r="K71" s="1326"/>
      <c r="L71" s="1327"/>
    </row>
    <row r="72" spans="1:12" ht="38.85" customHeight="1">
      <c r="C72" s="1334"/>
      <c r="D72" s="1329"/>
      <c r="E72" s="133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6"/>
      <c r="G72" s="1336"/>
      <c r="H72" s="1336"/>
      <c r="I72" s="1336"/>
      <c r="J72" s="1336"/>
      <c r="K72" s="1336"/>
      <c r="L72" s="1335"/>
    </row>
    <row r="73" spans="1:12">
      <c r="C73" s="1328"/>
      <c r="D73" s="1329"/>
      <c r="E73" s="1327" t="str">
        <f>Translations!$B$63</f>
        <v>Šviesiai geltonų laukelių pildyti neprivaloma.</v>
      </c>
      <c r="F73" s="1321"/>
      <c r="G73" s="1321"/>
      <c r="H73" s="1321"/>
      <c r="I73" s="1321"/>
      <c r="J73" s="1321"/>
      <c r="K73" s="1321"/>
      <c r="L73" s="1321"/>
    </row>
    <row r="74" spans="1:12">
      <c r="C74" s="1330"/>
      <c r="D74" s="1331"/>
      <c r="E74" s="1327" t="str">
        <f>Translations!$B$527</f>
        <v>Žaliuose laukeliuose pateikiami automatiškai apskaičiuoti rezultatai. Raudonu tekstu pateikiami pranešimai apie klaidas (trūksta duomenų ir kt.).</v>
      </c>
      <c r="F74" s="1321"/>
      <c r="G74" s="1321"/>
      <c r="H74" s="1321"/>
      <c r="I74" s="1321"/>
      <c r="J74" s="1321"/>
      <c r="K74" s="1321"/>
      <c r="L74" s="1321"/>
    </row>
    <row r="75" spans="1:12">
      <c r="C75" s="1337"/>
      <c r="D75" s="1331"/>
      <c r="E75" s="1327" t="str">
        <f>Translations!$B$528</f>
        <v>Patamsinti laukeliai reiškia, kad dėl įrašo kitame laukelyje čia nieko įrašyti nebereikia.</v>
      </c>
      <c r="F75" s="1326"/>
      <c r="G75" s="1326"/>
      <c r="H75" s="1326"/>
      <c r="I75" s="1326"/>
      <c r="J75" s="1326"/>
      <c r="K75" s="1326"/>
      <c r="L75" s="1327"/>
    </row>
    <row r="76" spans="1:12">
      <c r="C76" s="1332"/>
      <c r="D76" s="1332"/>
      <c r="E76" s="1326" t="str">
        <f>Translations!$B$529</f>
        <v>Valstybės narės, prieš paskelbdamos individualizuotą šablono versiją, turėtų užpildyti pilka spalva patamsintus laukus.</v>
      </c>
      <c r="F76" s="1321"/>
      <c r="G76" s="1321"/>
      <c r="H76" s="1321"/>
      <c r="I76" s="1321"/>
      <c r="J76" s="1321"/>
      <c r="K76" s="1321"/>
      <c r="L76" s="1321"/>
    </row>
    <row r="77" spans="1:12">
      <c r="C77" s="1333"/>
      <c r="D77" s="1333"/>
      <c r="E77" s="1326" t="str">
        <f>Translations!$B$64</f>
        <v>Šviesiai pilkos vietos skirtos naršyti ir hipersaitams nurodyti.</v>
      </c>
      <c r="F77" s="1321"/>
      <c r="G77" s="1321"/>
      <c r="H77" s="1321"/>
      <c r="I77" s="1321"/>
      <c r="J77" s="1321"/>
      <c r="K77" s="1321"/>
      <c r="L77" s="1321"/>
    </row>
    <row r="79" spans="1:12" ht="38.25" customHeight="1">
      <c r="A79" s="188">
        <v>12</v>
      </c>
      <c r="B79" s="132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1"/>
      <c r="D79" s="1321"/>
      <c r="E79" s="1321"/>
      <c r="F79" s="1321"/>
      <c r="G79" s="1321"/>
      <c r="H79" s="1321"/>
      <c r="I79" s="1321"/>
      <c r="J79" s="1321"/>
      <c r="K79" s="1321"/>
      <c r="L79" s="1321"/>
    </row>
    <row r="80" spans="1:12" ht="51" customHeight="1">
      <c r="A80" s="188">
        <v>13</v>
      </c>
      <c r="B80" s="132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1"/>
      <c r="D80" s="1321"/>
      <c r="E80" s="1321"/>
      <c r="F80" s="1321"/>
      <c r="G80" s="1321"/>
      <c r="H80" s="1321"/>
      <c r="I80" s="1321"/>
      <c r="J80" s="1321"/>
      <c r="K80" s="1321"/>
      <c r="L80" s="1321"/>
    </row>
    <row r="81" spans="1:13" ht="51" customHeight="1">
      <c r="A81" s="188">
        <v>14</v>
      </c>
      <c r="B81" s="132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1"/>
      <c r="D81" s="1321"/>
      <c r="E81" s="1321"/>
      <c r="F81" s="1321"/>
      <c r="G81" s="1321"/>
      <c r="H81" s="1321"/>
      <c r="I81" s="1321"/>
      <c r="J81" s="1321"/>
      <c r="K81" s="1321"/>
      <c r="L81" s="1321"/>
    </row>
    <row r="82" spans="1:13" ht="25.5" customHeight="1">
      <c r="A82" s="188">
        <v>15</v>
      </c>
      <c r="B82" s="131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5"/>
      <c r="D82" s="1315"/>
      <c r="E82" s="1315"/>
      <c r="F82" s="1315"/>
      <c r="G82" s="1315"/>
      <c r="H82" s="1315"/>
      <c r="I82" s="1315"/>
      <c r="J82" s="1315"/>
      <c r="K82" s="1315"/>
      <c r="L82" s="1315"/>
      <c r="M82" s="1088"/>
    </row>
    <row r="83" spans="1:13" ht="4.9000000000000004" customHeight="1" thickBot="1">
      <c r="A83" s="34"/>
      <c r="B83" s="1322"/>
      <c r="C83" s="1323"/>
      <c r="D83" s="1323"/>
      <c r="E83" s="1323"/>
      <c r="F83" s="1323"/>
      <c r="G83" s="1323"/>
      <c r="H83" s="1323"/>
      <c r="I83" s="1323"/>
      <c r="J83" s="1323"/>
      <c r="K83" s="1323"/>
      <c r="L83" s="31"/>
    </row>
    <row r="84" spans="1:13" ht="89.25" customHeight="1" thickBot="1">
      <c r="A84" s="188">
        <v>16</v>
      </c>
      <c r="B84" s="131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8"/>
      <c r="D84" s="1318"/>
      <c r="E84" s="1318"/>
      <c r="F84" s="1318"/>
      <c r="G84" s="1318"/>
      <c r="H84" s="1318"/>
      <c r="I84" s="1318"/>
      <c r="J84" s="1318"/>
      <c r="K84" s="1318"/>
      <c r="L84" s="1319"/>
    </row>
    <row r="86" spans="1:13" ht="38.25" customHeight="1" thickBot="1">
      <c r="A86" s="188">
        <v>17</v>
      </c>
      <c r="B86" s="132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5"/>
      <c r="D86" s="1325"/>
      <c r="E86" s="1325"/>
      <c r="F86" s="1325"/>
      <c r="G86" s="1325"/>
      <c r="H86" s="1325"/>
      <c r="I86" s="1325"/>
      <c r="J86" s="1325"/>
      <c r="K86" s="1325"/>
      <c r="L86" s="1325"/>
    </row>
    <row r="88" spans="1:13" ht="15.75">
      <c r="A88" s="188">
        <v>18</v>
      </c>
      <c r="B88" s="1316" t="str">
        <f>Translations!$B$70</f>
        <v>Čia išvardijamos konkrečios valstybės narės gairės:</v>
      </c>
      <c r="C88" s="1316"/>
      <c r="D88" s="1316"/>
      <c r="E88" s="1316"/>
      <c r="F88" s="1316"/>
      <c r="G88" s="1316"/>
      <c r="H88" s="1316"/>
      <c r="I88" s="1316"/>
      <c r="J88" s="1316"/>
      <c r="K88" s="1316"/>
      <c r="L88" s="1316"/>
    </row>
    <row r="89" spans="1:13">
      <c r="B89" s="1312"/>
      <c r="C89" s="1313"/>
      <c r="D89" s="1313"/>
      <c r="E89" s="1313"/>
      <c r="F89" s="1313"/>
      <c r="G89" s="1313"/>
      <c r="H89" s="1313"/>
      <c r="I89" s="1313"/>
      <c r="J89" s="1313"/>
      <c r="K89" s="1313"/>
      <c r="L89" s="1313"/>
    </row>
    <row r="90" spans="1:13">
      <c r="B90" s="1312"/>
      <c r="C90" s="1313"/>
      <c r="D90" s="1313"/>
      <c r="E90" s="1313"/>
      <c r="F90" s="1313"/>
      <c r="G90" s="1313"/>
      <c r="H90" s="1313"/>
      <c r="I90" s="1313"/>
      <c r="J90" s="1313"/>
      <c r="K90" s="1313"/>
      <c r="L90" s="1313"/>
    </row>
    <row r="91" spans="1:13">
      <c r="B91" s="1312"/>
      <c r="C91" s="1313"/>
      <c r="D91" s="1313"/>
      <c r="E91" s="1313"/>
      <c r="F91" s="1313"/>
      <c r="G91" s="1313"/>
      <c r="H91" s="1313"/>
      <c r="I91" s="1313"/>
      <c r="J91" s="1313"/>
      <c r="K91" s="1313"/>
      <c r="L91" s="1313"/>
    </row>
    <row r="92" spans="1:13">
      <c r="B92" s="1312"/>
      <c r="C92" s="1313"/>
      <c r="D92" s="1313"/>
      <c r="E92" s="1313"/>
      <c r="F92" s="1313"/>
      <c r="G92" s="1313"/>
      <c r="H92" s="1313"/>
      <c r="I92" s="1313"/>
      <c r="J92" s="1313"/>
      <c r="K92" s="1313"/>
      <c r="L92" s="1313"/>
    </row>
    <row r="93" spans="1:13">
      <c r="B93" s="1312"/>
      <c r="C93" s="1313"/>
      <c r="D93" s="1313"/>
      <c r="E93" s="1313"/>
      <c r="F93" s="1313"/>
      <c r="G93" s="1313"/>
      <c r="H93" s="1313"/>
      <c r="I93" s="1313"/>
      <c r="J93" s="1313"/>
      <c r="K93" s="1313"/>
      <c r="L93" s="1313"/>
    </row>
    <row r="94" spans="1:13">
      <c r="B94" s="1312"/>
      <c r="C94" s="1313"/>
      <c r="D94" s="1313"/>
      <c r="E94" s="1313"/>
      <c r="F94" s="1313"/>
      <c r="G94" s="1313"/>
      <c r="H94" s="1313"/>
      <c r="I94" s="1313"/>
      <c r="J94" s="1313"/>
      <c r="K94" s="1313"/>
      <c r="L94" s="1313"/>
    </row>
    <row r="95" spans="1:13">
      <c r="B95" s="1312"/>
      <c r="C95" s="1313"/>
      <c r="D95" s="1313"/>
      <c r="E95" s="1313"/>
      <c r="F95" s="1313"/>
      <c r="G95" s="1313"/>
      <c r="H95" s="1313"/>
      <c r="I95" s="1313"/>
      <c r="J95" s="1313"/>
      <c r="K95" s="1313"/>
      <c r="L95" s="1313"/>
    </row>
    <row r="96" spans="1:13">
      <c r="B96" s="1312"/>
      <c r="C96" s="1313"/>
      <c r="D96" s="1313"/>
      <c r="E96" s="1313"/>
      <c r="F96" s="1313"/>
      <c r="G96" s="1313"/>
      <c r="H96" s="1313"/>
      <c r="I96" s="1313"/>
      <c r="J96" s="1313"/>
      <c r="K96" s="1313"/>
      <c r="L96" s="1313"/>
    </row>
    <row r="97" spans="2:12">
      <c r="B97" s="1312"/>
      <c r="C97" s="1313"/>
      <c r="D97" s="1313"/>
      <c r="E97" s="1313"/>
      <c r="F97" s="1313"/>
      <c r="G97" s="1313"/>
      <c r="H97" s="1313"/>
      <c r="I97" s="1313"/>
      <c r="J97" s="1313"/>
      <c r="K97" s="1313"/>
      <c r="L97" s="1313"/>
    </row>
    <row r="98" spans="2:12">
      <c r="B98" s="1312"/>
      <c r="C98" s="1313"/>
      <c r="D98" s="1313"/>
      <c r="E98" s="1313"/>
      <c r="F98" s="1313"/>
      <c r="G98" s="1313"/>
      <c r="H98" s="1313"/>
      <c r="I98" s="1313"/>
      <c r="J98" s="1313"/>
      <c r="K98" s="1313"/>
      <c r="L98" s="1313"/>
    </row>
    <row r="99" spans="2:12">
      <c r="B99" s="1312"/>
      <c r="C99" s="1313"/>
      <c r="D99" s="1313"/>
      <c r="E99" s="1313"/>
      <c r="F99" s="1313"/>
      <c r="G99" s="1313"/>
      <c r="H99" s="1313"/>
      <c r="I99" s="1313"/>
      <c r="J99" s="1313"/>
      <c r="K99" s="1313"/>
      <c r="L99" s="1313"/>
    </row>
    <row r="100" spans="2:12">
      <c r="B100" s="1312"/>
      <c r="C100" s="1313"/>
      <c r="D100" s="1313"/>
      <c r="E100" s="1313"/>
      <c r="F100" s="1313"/>
      <c r="G100" s="1313"/>
      <c r="H100" s="1313"/>
      <c r="I100" s="1313"/>
      <c r="J100" s="1313"/>
      <c r="K100" s="1313"/>
      <c r="L100" s="1313"/>
    </row>
    <row r="101" spans="2:12">
      <c r="B101" s="1312"/>
      <c r="C101" s="1313"/>
      <c r="D101" s="1313"/>
      <c r="E101" s="1313"/>
      <c r="F101" s="1313"/>
      <c r="G101" s="1313"/>
      <c r="H101" s="1313"/>
      <c r="I101" s="1313"/>
      <c r="J101" s="1313"/>
      <c r="K101" s="1313"/>
      <c r="L101" s="1313"/>
    </row>
    <row r="102" spans="2:12">
      <c r="B102" s="1312"/>
      <c r="C102" s="1313"/>
      <c r="D102" s="1313"/>
      <c r="E102" s="1313"/>
      <c r="F102" s="1313"/>
      <c r="G102" s="1313"/>
      <c r="H102" s="1313"/>
      <c r="I102" s="1313"/>
      <c r="J102" s="1313"/>
      <c r="K102" s="1313"/>
      <c r="L102" s="1313"/>
    </row>
    <row r="103" spans="2:12">
      <c r="B103" s="1312"/>
      <c r="C103" s="1313"/>
      <c r="D103" s="1313"/>
      <c r="E103" s="1313"/>
      <c r="F103" s="1313"/>
      <c r="G103" s="1313"/>
      <c r="H103" s="1313"/>
      <c r="I103" s="1313"/>
      <c r="J103" s="1313"/>
      <c r="K103" s="1313"/>
      <c r="L103" s="1313"/>
    </row>
    <row r="104" spans="2:12">
      <c r="B104" s="1312"/>
      <c r="C104" s="1313"/>
      <c r="D104" s="1313"/>
      <c r="E104" s="1313"/>
      <c r="F104" s="1313"/>
      <c r="G104" s="1313"/>
      <c r="H104" s="1313"/>
      <c r="I104" s="1313"/>
      <c r="J104" s="1313"/>
      <c r="K104" s="1313"/>
      <c r="L104" s="1313"/>
    </row>
    <row r="105" spans="2:12">
      <c r="B105" s="1312"/>
      <c r="C105" s="1313"/>
      <c r="D105" s="1313"/>
      <c r="E105" s="1313"/>
      <c r="F105" s="1313"/>
      <c r="G105" s="1313"/>
      <c r="H105" s="1313"/>
      <c r="I105" s="1313"/>
      <c r="J105" s="1313"/>
      <c r="K105" s="1313"/>
      <c r="L105" s="1313"/>
    </row>
    <row r="106" spans="2:12">
      <c r="B106" s="1312"/>
      <c r="C106" s="1313"/>
      <c r="D106" s="1313"/>
      <c r="E106" s="1313"/>
      <c r="F106" s="1313"/>
      <c r="G106" s="1313"/>
      <c r="H106" s="1313"/>
      <c r="I106" s="1313"/>
      <c r="J106" s="1313"/>
      <c r="K106" s="1313"/>
      <c r="L106" s="1313"/>
    </row>
    <row r="107" spans="2:12">
      <c r="B107" s="1312"/>
      <c r="C107" s="1313"/>
      <c r="D107" s="1313"/>
      <c r="E107" s="1313"/>
      <c r="F107" s="1313"/>
      <c r="G107" s="1313"/>
      <c r="H107" s="1313"/>
      <c r="I107" s="1313"/>
      <c r="J107" s="1313"/>
      <c r="K107" s="1313"/>
      <c r="L107" s="1313"/>
    </row>
    <row r="108" spans="2:12">
      <c r="B108" s="1312"/>
      <c r="C108" s="1313"/>
      <c r="D108" s="1313"/>
      <c r="E108" s="1313"/>
      <c r="F108" s="1313"/>
      <c r="G108" s="1313"/>
      <c r="H108" s="1313"/>
      <c r="I108" s="1313"/>
      <c r="J108" s="1313"/>
      <c r="K108" s="1313"/>
      <c r="L108" s="1313"/>
    </row>
    <row r="109" spans="2:12">
      <c r="B109" s="1312"/>
      <c r="C109" s="1313"/>
      <c r="D109" s="1313"/>
      <c r="E109" s="1313"/>
      <c r="F109" s="1313"/>
      <c r="G109" s="1313"/>
      <c r="H109" s="1313"/>
      <c r="I109" s="1313"/>
      <c r="J109" s="1313"/>
      <c r="K109" s="1313"/>
      <c r="L109" s="1313"/>
    </row>
    <row r="110" spans="2:12">
      <c r="B110" s="1312"/>
      <c r="C110" s="1313"/>
      <c r="D110" s="1313"/>
      <c r="E110" s="1313"/>
      <c r="F110" s="1313"/>
      <c r="G110" s="1313"/>
      <c r="H110" s="1313"/>
      <c r="I110" s="1313"/>
      <c r="J110" s="1313"/>
      <c r="K110" s="1313"/>
      <c r="L110" s="1313"/>
    </row>
    <row r="113" spans="4:10" s="199" customFormat="1" ht="15" customHeight="1">
      <c r="D113" s="1365" t="str">
        <f>EUconst_MsgNextSheet</f>
        <v xml:space="preserve">&lt;&lt;&lt; Į kitą lapą pereisite paspaudę čia &gt;&gt;&gt; </v>
      </c>
      <c r="E113" s="1365"/>
      <c r="F113" s="1365"/>
      <c r="G113" s="1365"/>
      <c r="H113" s="1365"/>
      <c r="I113" s="1365"/>
      <c r="J113" s="1365"/>
    </row>
  </sheetData>
  <sheetProtection sheet="1" objects="1" scenarios="1"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80:L80"/>
    <mergeCell ref="C76:D76"/>
    <mergeCell ref="C77:D77"/>
    <mergeCell ref="E77:L77"/>
    <mergeCell ref="C72:D72"/>
    <mergeCell ref="E72:L72"/>
    <mergeCell ref="C75:D75"/>
    <mergeCell ref="E75:L75"/>
    <mergeCell ref="B81:L81"/>
    <mergeCell ref="B83:K83"/>
    <mergeCell ref="B93:L93"/>
    <mergeCell ref="B89:L89"/>
    <mergeCell ref="B92:L92"/>
    <mergeCell ref="B91:L91"/>
    <mergeCell ref="B90:L90"/>
    <mergeCell ref="B86:L86"/>
    <mergeCell ref="E76:L76"/>
    <mergeCell ref="B79:L7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sheetPr codeName="Tabelle4">
    <tabColor indexed="43"/>
    <pageSetUpPr fitToPage="1"/>
  </sheetPr>
  <dimension ref="A1:Q135"/>
  <sheetViews>
    <sheetView topLeftCell="B1" zoomScaleNormal="100" workbookViewId="0">
      <pane ySplit="4" topLeftCell="A101" activePane="bottomLeft" state="frozen"/>
      <selection activeCell="B2" sqref="B2"/>
      <selection pane="bottomLeft" activeCell="I131" sqref="I131:N131"/>
    </sheetView>
  </sheetViews>
  <sheetFormatPr defaultColWidth="11.42578125" defaultRowHeight="12.75"/>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c r="A1" s="758" t="s">
        <v>87</v>
      </c>
      <c r="B1" s="759"/>
      <c r="C1" s="760"/>
      <c r="D1" s="761"/>
      <c r="E1" s="759"/>
      <c r="F1" s="759"/>
      <c r="G1" s="762"/>
      <c r="H1" s="762"/>
      <c r="I1" s="759"/>
      <c r="J1" s="759"/>
      <c r="K1" s="759"/>
      <c r="L1" s="759"/>
      <c r="M1" s="759"/>
      <c r="N1" s="759"/>
      <c r="O1" s="763"/>
      <c r="Q1" s="1098" t="s">
        <v>87</v>
      </c>
    </row>
    <row r="2" spans="1:17" ht="13.5" customHeight="1" thickBot="1">
      <c r="A2" s="764"/>
      <c r="B2" s="1404" t="str">
        <f>Translations!$B$532</f>
        <v>A.
OperatorInst ID (Veiklos vykd. / įreng. tapatybė)</v>
      </c>
      <c r="C2" s="1405"/>
      <c r="D2" s="1406"/>
      <c r="E2" s="1386" t="str">
        <f>Translations!$B$23</f>
        <v>Naršymo laukas</v>
      </c>
      <c r="F2" s="1364"/>
      <c r="G2" s="1366" t="str">
        <f>Translations!$B$24</f>
        <v>Turinys</v>
      </c>
      <c r="H2" s="1367"/>
      <c r="I2" s="1366" t="str">
        <f>Translations!$B$25</f>
        <v>Ankstesnis lapas</v>
      </c>
      <c r="J2" s="1367"/>
      <c r="K2" s="1366" t="str">
        <f>Translations!$B$26</f>
        <v>Kitas lapas</v>
      </c>
      <c r="L2" s="1367"/>
      <c r="M2" s="1366"/>
      <c r="N2" s="1367"/>
      <c r="O2" s="1054"/>
    </row>
    <row r="3" spans="1:17" ht="12.75" customHeight="1">
      <c r="A3" s="764"/>
      <c r="B3" s="1407"/>
      <c r="C3" s="1408"/>
      <c r="D3" s="1409"/>
      <c r="E3" s="1389" t="str">
        <f>Translations!$B$27</f>
        <v>Lapo viršus</v>
      </c>
      <c r="F3" s="1388"/>
      <c r="G3" s="1387" t="str">
        <f>Translations!$B$492</f>
        <v>Ataskaitiniai metai</v>
      </c>
      <c r="H3" s="1388"/>
      <c r="I3" s="1387" t="str">
        <f>Translations!$B$74</f>
        <v>Veiklos vykdytojas</v>
      </c>
      <c r="J3" s="1388"/>
      <c r="K3" s="1387" t="str">
        <f>Translations!$B$75</f>
        <v>Įrenginys</v>
      </c>
      <c r="L3" s="1390"/>
      <c r="M3" s="1359"/>
      <c r="N3" s="1359"/>
      <c r="O3" s="736"/>
    </row>
    <row r="4" spans="1:17">
      <c r="A4" s="764"/>
      <c r="B4" s="1407"/>
      <c r="C4" s="1408"/>
      <c r="D4" s="1409"/>
      <c r="E4" s="1379" t="str">
        <f>Translations!$B$28</f>
        <v>Lapo galas</v>
      </c>
      <c r="F4" s="1377"/>
      <c r="G4" s="1376" t="str">
        <f>Translations!$B$6</f>
        <v xml:space="preserve">Kontaktiniai duomenys </v>
      </c>
      <c r="H4" s="1377"/>
      <c r="I4" s="1376" t="str">
        <f>Translations!$B$533</f>
        <v>Išsami informacija apie vertintoją</v>
      </c>
      <c r="J4" s="1377"/>
      <c r="K4" s="1376"/>
      <c r="L4" s="1385"/>
      <c r="M4" s="1359"/>
      <c r="N4" s="1359"/>
      <c r="O4" s="736"/>
    </row>
    <row r="5" spans="1:17" ht="12.75" customHeight="1">
      <c r="A5" s="765"/>
      <c r="B5" s="1055"/>
      <c r="O5" s="736"/>
    </row>
    <row r="6" spans="1:17" s="28" customFormat="1" ht="25.5" customHeight="1">
      <c r="A6" s="766"/>
      <c r="B6" s="790"/>
      <c r="C6" s="1398" t="str">
        <f>Translations!$B$534</f>
        <v>A. Veiklos vykdytojo, įrenginio ir vertintojo tapatybės duomenys</v>
      </c>
      <c r="D6" s="1398"/>
      <c r="E6" s="1398"/>
      <c r="F6" s="1398"/>
      <c r="G6" s="1398"/>
      <c r="H6" s="1398"/>
      <c r="I6" s="1398"/>
      <c r="J6" s="1398"/>
      <c r="K6" s="1398"/>
      <c r="L6" s="1398"/>
      <c r="M6" s="1398"/>
      <c r="N6" s="1398"/>
      <c r="O6" s="744"/>
      <c r="Q6" s="1100"/>
    </row>
    <row r="7" spans="1:17" s="28" customFormat="1" ht="12.75" customHeight="1">
      <c r="A7" s="766"/>
      <c r="B7" s="790"/>
      <c r="C7" s="768"/>
      <c r="D7" s="767"/>
      <c r="E7" s="767"/>
      <c r="F7" s="767"/>
      <c r="G7" s="767"/>
      <c r="H7" s="767"/>
      <c r="I7" s="767"/>
      <c r="J7" s="767"/>
      <c r="K7" s="767"/>
      <c r="L7" s="767"/>
      <c r="M7" s="767"/>
      <c r="N7" s="767"/>
      <c r="O7" s="744"/>
      <c r="Q7" s="1100"/>
    </row>
    <row r="8" spans="1:17" s="59" customFormat="1" ht="5.0999999999999996" customHeight="1">
      <c r="A8" s="765"/>
      <c r="B8" s="791"/>
      <c r="C8" s="715"/>
      <c r="D8" s="410"/>
      <c r="E8" s="410"/>
      <c r="F8" s="410"/>
      <c r="G8" s="410"/>
      <c r="H8" s="410"/>
      <c r="I8" s="410"/>
      <c r="J8" s="410"/>
      <c r="K8" s="410"/>
      <c r="L8" s="410"/>
      <c r="M8" s="410"/>
      <c r="N8" s="410"/>
      <c r="O8" s="734"/>
      <c r="Q8" s="1096"/>
    </row>
    <row r="9" spans="1:17" s="28" customFormat="1" ht="25.5" customHeight="1">
      <c r="A9" s="766"/>
      <c r="B9" s="790"/>
      <c r="C9" s="716">
        <v>1</v>
      </c>
      <c r="D9" s="1410" t="str">
        <f>Translations!$B$492</f>
        <v>Ataskaitiniai metai</v>
      </c>
      <c r="E9" s="1410"/>
      <c r="F9" s="1410"/>
      <c r="G9" s="1410"/>
      <c r="H9" s="1410"/>
      <c r="I9" s="409"/>
      <c r="J9" s="1392">
        <v>2015</v>
      </c>
      <c r="K9" s="1392"/>
      <c r="L9" s="409"/>
      <c r="M9" s="409"/>
      <c r="N9" s="409"/>
      <c r="O9" s="735"/>
      <c r="Q9" s="1100"/>
    </row>
    <row r="10" spans="1:17" s="59" customFormat="1" ht="5.0999999999999996" customHeight="1">
      <c r="A10" s="765"/>
      <c r="B10" s="791"/>
      <c r="C10" s="715"/>
      <c r="D10" s="410"/>
      <c r="E10" s="410"/>
      <c r="F10" s="410"/>
      <c r="G10" s="410"/>
      <c r="H10" s="410"/>
      <c r="I10" s="410"/>
      <c r="J10" s="410"/>
      <c r="K10" s="410"/>
      <c r="L10" s="410"/>
      <c r="M10" s="410"/>
      <c r="N10" s="410"/>
      <c r="O10" s="734"/>
      <c r="Q10" s="1096"/>
    </row>
    <row r="11" spans="1:17" ht="12.75" customHeight="1">
      <c r="A11" s="765"/>
      <c r="B11" s="1055"/>
      <c r="O11" s="736"/>
    </row>
    <row r="12" spans="1:17" ht="25.5" customHeight="1">
      <c r="A12" s="765"/>
      <c r="B12" s="793"/>
      <c r="C12" s="727"/>
      <c r="D12" s="139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96"/>
      <c r="F12" s="1396"/>
      <c r="G12" s="1396"/>
      <c r="H12" s="1396"/>
      <c r="I12" s="1396"/>
      <c r="J12" s="1396"/>
      <c r="K12" s="1396"/>
      <c r="L12" s="1396"/>
      <c r="M12" s="1396"/>
      <c r="N12" s="1397"/>
      <c r="O12" s="1102"/>
    </row>
    <row r="13" spans="1:17" ht="12.75" customHeight="1">
      <c r="A13" s="765"/>
      <c r="B13" s="793"/>
      <c r="C13" s="727"/>
      <c r="D13" s="1396" t="str">
        <f>Translations!$B$536</f>
        <v>Paprastai neužteks pranešti apie tokius pakeitimus šiame lape. Tačiau čia turi būti pateikti naujausi duomenys.</v>
      </c>
      <c r="E13" s="1396"/>
      <c r="F13" s="1396"/>
      <c r="G13" s="1396"/>
      <c r="H13" s="1396"/>
      <c r="I13" s="1396"/>
      <c r="J13" s="1396"/>
      <c r="K13" s="1396"/>
      <c r="L13" s="1396"/>
      <c r="M13" s="1396"/>
      <c r="N13" s="1397"/>
      <c r="O13" s="736"/>
    </row>
    <row r="14" spans="1:17" ht="25.5" customHeight="1">
      <c r="A14" s="765"/>
      <c r="B14" s="793"/>
      <c r="C14" s="727"/>
      <c r="D14" s="1401" t="str">
        <f>Translations!$B$537</f>
        <v>Pateikti su konkrečia valstybe nare susijusias rekomendacijas.</v>
      </c>
      <c r="E14" s="1402"/>
      <c r="F14" s="1402"/>
      <c r="G14" s="1402"/>
      <c r="H14" s="1402"/>
      <c r="I14" s="1402"/>
      <c r="J14" s="1402"/>
      <c r="K14" s="1402"/>
      <c r="L14" s="1402"/>
      <c r="M14" s="1402"/>
      <c r="N14" s="1403"/>
      <c r="O14" s="736"/>
    </row>
    <row r="15" spans="1:17" ht="12.75" customHeight="1">
      <c r="A15" s="765"/>
      <c r="B15" s="793"/>
      <c r="C15" s="727"/>
      <c r="D15" s="1091"/>
      <c r="E15" s="1120"/>
      <c r="F15" s="1120"/>
      <c r="G15" s="1120"/>
      <c r="H15" s="1120"/>
      <c r="I15" s="1120"/>
      <c r="J15" s="1120"/>
      <c r="K15" s="1120"/>
      <c r="L15" s="1120"/>
      <c r="M15" s="1120"/>
      <c r="N15" s="1120"/>
      <c r="O15" s="736"/>
    </row>
    <row r="16" spans="1:17" ht="15.75">
      <c r="A16" s="765"/>
      <c r="B16" s="793"/>
      <c r="C16" s="717">
        <v>2</v>
      </c>
      <c r="D16" s="1411" t="str">
        <f>Translations!$B$5</f>
        <v>Apie veiklos vykdytoją</v>
      </c>
      <c r="E16" s="1411"/>
      <c r="F16" s="1411"/>
      <c r="G16" s="1411"/>
      <c r="H16" s="1411"/>
      <c r="I16" s="1411"/>
      <c r="J16" s="1411"/>
      <c r="K16" s="1411"/>
      <c r="L16" s="1411"/>
      <c r="M16" s="1411"/>
      <c r="N16" s="1411"/>
      <c r="O16" s="736"/>
    </row>
    <row r="17" spans="1:17">
      <c r="A17" s="765"/>
      <c r="B17" s="793"/>
      <c r="C17" s="727"/>
      <c r="D17" s="769"/>
      <c r="E17" s="206"/>
      <c r="F17" s="206"/>
      <c r="G17" s="206"/>
      <c r="H17" s="206"/>
      <c r="I17" s="206"/>
      <c r="J17" s="206"/>
      <c r="K17" s="206"/>
      <c r="L17" s="206"/>
      <c r="M17" s="206"/>
      <c r="N17" s="206"/>
      <c r="O17" s="736"/>
    </row>
    <row r="18" spans="1:17" ht="12.75" customHeight="1">
      <c r="A18" s="765"/>
      <c r="B18" s="793"/>
      <c r="C18" s="727"/>
      <c r="D18" s="180" t="s">
        <v>1</v>
      </c>
      <c r="E18" s="1393" t="str">
        <f>Translations!$B$538</f>
        <v>Kompetentinga institucija ataskaitų teikimo klausimams</v>
      </c>
      <c r="F18" s="1393"/>
      <c r="G18" s="1393"/>
      <c r="H18" s="1394"/>
      <c r="I18" s="1395" t="s">
        <v>1785</v>
      </c>
      <c r="J18" s="1395"/>
      <c r="K18" s="1395"/>
      <c r="L18" s="1395"/>
      <c r="M18" s="1395"/>
      <c r="N18" s="1395"/>
      <c r="O18" s="736"/>
    </row>
    <row r="19" spans="1:17" ht="4.9000000000000004" customHeight="1">
      <c r="A19" s="765"/>
      <c r="B19" s="793"/>
      <c r="C19" s="727"/>
      <c r="D19" s="180"/>
      <c r="E19" s="268"/>
      <c r="F19" s="268"/>
      <c r="G19" s="268"/>
      <c r="H19" s="206"/>
      <c r="I19" s="206"/>
      <c r="J19" s="206"/>
      <c r="K19" s="206"/>
      <c r="L19" s="206"/>
      <c r="M19" s="205"/>
      <c r="N19" s="204"/>
      <c r="O19" s="745"/>
    </row>
    <row r="20" spans="1:17">
      <c r="A20" s="765"/>
      <c r="B20" s="793"/>
      <c r="C20" s="727"/>
      <c r="D20" s="180" t="s">
        <v>2</v>
      </c>
      <c r="E20" s="1393" t="str">
        <f>Translations!$B$76</f>
        <v>Valstybė narė</v>
      </c>
      <c r="F20" s="1393"/>
      <c r="G20" s="1393"/>
      <c r="H20" s="1394"/>
      <c r="I20" s="1395" t="s">
        <v>1267</v>
      </c>
      <c r="J20" s="1395"/>
      <c r="K20" s="1395"/>
      <c r="L20" s="1395"/>
      <c r="M20" s="1395"/>
      <c r="N20" s="1395"/>
      <c r="O20" s="745"/>
    </row>
    <row r="21" spans="1:17" ht="4.9000000000000004" customHeight="1">
      <c r="A21" s="765"/>
      <c r="B21" s="793"/>
      <c r="C21" s="727"/>
      <c r="D21" s="180"/>
      <c r="E21" s="268"/>
      <c r="F21" s="268"/>
      <c r="G21" s="268"/>
      <c r="H21" s="206"/>
      <c r="I21" s="206"/>
      <c r="J21" s="206"/>
      <c r="K21" s="206"/>
      <c r="L21" s="206"/>
      <c r="M21" s="205"/>
      <c r="N21" s="204"/>
      <c r="O21" s="745"/>
    </row>
    <row r="22" spans="1:17" ht="12.75" customHeight="1">
      <c r="A22" s="765"/>
      <c r="B22" s="793"/>
      <c r="C22" s="727"/>
      <c r="D22" s="507" t="s">
        <v>44</v>
      </c>
      <c r="E22" s="1393" t="str">
        <f>Translations!$B$77</f>
        <v>Leidimo išmesti šiltnamio efektą sukeliančias dujas numeris</v>
      </c>
      <c r="F22" s="1393"/>
      <c r="G22" s="1393"/>
      <c r="H22" s="1393"/>
      <c r="I22" s="1399" t="str">
        <f>Translations!$B$78</f>
        <v>Valstybė narė / KI prefiksas</v>
      </c>
      <c r="J22" s="1400"/>
      <c r="K22" s="1426" t="s">
        <v>1786</v>
      </c>
      <c r="L22" s="1427"/>
      <c r="M22" s="1427"/>
      <c r="N22" s="1428"/>
      <c r="O22" s="736"/>
    </row>
    <row r="23" spans="1:17" ht="5.0999999999999996" customHeight="1">
      <c r="A23" s="765"/>
      <c r="B23" s="793"/>
      <c r="C23" s="727"/>
      <c r="D23" s="180"/>
      <c r="E23" s="180"/>
      <c r="F23" s="180"/>
      <c r="G23" s="180"/>
      <c r="H23" s="180"/>
      <c r="I23" s="180"/>
      <c r="J23" s="180"/>
      <c r="K23" s="180"/>
      <c r="L23" s="180"/>
      <c r="M23" s="180"/>
      <c r="N23" s="180"/>
      <c r="O23" s="736"/>
    </row>
    <row r="24" spans="1:17" s="7" customFormat="1" ht="12.75" customHeight="1">
      <c r="A24" s="770"/>
      <c r="B24" s="793"/>
      <c r="C24" s="721"/>
      <c r="D24" s="180" t="s">
        <v>3</v>
      </c>
      <c r="E24" s="1391" t="str">
        <f>Translations!$B$539</f>
        <v>Veiklos vykdytojo duomenys:</v>
      </c>
      <c r="F24" s="1391"/>
      <c r="G24" s="1391"/>
      <c r="H24" s="1391"/>
      <c r="I24" s="1391"/>
      <c r="J24" s="1391"/>
      <c r="K24" s="1391"/>
      <c r="L24" s="1391"/>
      <c r="M24" s="1391"/>
      <c r="N24" s="1391"/>
      <c r="O24" s="736"/>
      <c r="Q24" s="1098"/>
    </row>
    <row r="25" spans="1:17" s="7" customFormat="1" ht="25.5" customHeight="1">
      <c r="A25" s="770"/>
      <c r="B25" s="793"/>
      <c r="C25" s="721"/>
      <c r="D25" s="777"/>
      <c r="E25" s="1378"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8"/>
      <c r="G25" s="1378"/>
      <c r="H25" s="1378"/>
      <c r="I25" s="1378"/>
      <c r="J25" s="1378"/>
      <c r="K25" s="1378"/>
      <c r="L25" s="1378"/>
      <c r="M25" s="1378"/>
      <c r="N25" s="1378"/>
      <c r="O25" s="736"/>
      <c r="Q25" s="1098"/>
    </row>
    <row r="26" spans="1:17" s="7" customFormat="1" ht="12.75" customHeight="1">
      <c r="A26" s="770"/>
      <c r="B26" s="793"/>
      <c r="C26" s="721"/>
      <c r="D26" s="615" t="s">
        <v>4</v>
      </c>
      <c r="E26" s="1412" t="str">
        <f>Translations!$B$541</f>
        <v>Veiklos vykdytojo pavadinimas:</v>
      </c>
      <c r="F26" s="1412"/>
      <c r="G26" s="1412"/>
      <c r="H26" s="1413"/>
      <c r="I26" s="1414" t="s">
        <v>1787</v>
      </c>
      <c r="J26" s="1415"/>
      <c r="K26" s="1415"/>
      <c r="L26" s="1415"/>
      <c r="M26" s="1415"/>
      <c r="N26" s="1416"/>
      <c r="O26" s="736"/>
      <c r="Q26" s="1098"/>
    </row>
    <row r="27" spans="1:17" s="7" customFormat="1" ht="12.75" customHeight="1">
      <c r="A27" s="770"/>
      <c r="B27" s="793"/>
      <c r="C27" s="721"/>
      <c r="D27" s="615" t="s">
        <v>5</v>
      </c>
      <c r="E27" s="1412" t="str">
        <f>Translations!$B$542</f>
        <v>Gatvė, numeris:</v>
      </c>
      <c r="F27" s="1412"/>
      <c r="G27" s="1412"/>
      <c r="H27" s="1413"/>
      <c r="I27" s="1420" t="s">
        <v>1788</v>
      </c>
      <c r="J27" s="1421"/>
      <c r="K27" s="1421"/>
      <c r="L27" s="1421"/>
      <c r="M27" s="1421"/>
      <c r="N27" s="1422"/>
      <c r="O27" s="736"/>
      <c r="Q27" s="1098"/>
    </row>
    <row r="28" spans="1:17" s="7" customFormat="1">
      <c r="A28" s="770"/>
      <c r="B28" s="793"/>
      <c r="C28" s="721"/>
      <c r="D28" s="615" t="s">
        <v>196</v>
      </c>
      <c r="E28" s="1412" t="str">
        <f>Translations!$B$543</f>
        <v>Pašto kodas:</v>
      </c>
      <c r="F28" s="1412"/>
      <c r="G28" s="1412"/>
      <c r="H28" s="1413"/>
      <c r="I28" s="1380" t="s">
        <v>1789</v>
      </c>
      <c r="J28" s="1381"/>
      <c r="K28" s="1381"/>
      <c r="L28" s="1381"/>
      <c r="M28" s="1381"/>
      <c r="N28" s="1382"/>
      <c r="O28" s="736"/>
      <c r="Q28" s="1098"/>
    </row>
    <row r="29" spans="1:17" s="7" customFormat="1">
      <c r="A29" s="770"/>
      <c r="B29" s="793"/>
      <c r="C29" s="721"/>
      <c r="D29" s="615" t="s">
        <v>197</v>
      </c>
      <c r="E29" s="1412" t="str">
        <f>Translations!$B$86</f>
        <v>Miestas:</v>
      </c>
      <c r="F29" s="1412"/>
      <c r="G29" s="1412"/>
      <c r="H29" s="1413"/>
      <c r="I29" s="1417" t="s">
        <v>1790</v>
      </c>
      <c r="J29" s="1418"/>
      <c r="K29" s="1418"/>
      <c r="L29" s="1418"/>
      <c r="M29" s="1418"/>
      <c r="N29" s="1419"/>
      <c r="O29" s="736"/>
      <c r="Q29" s="1098"/>
    </row>
    <row r="30" spans="1:17" s="7" customFormat="1">
      <c r="A30" s="770"/>
      <c r="B30" s="793"/>
      <c r="C30" s="721"/>
      <c r="D30" s="615" t="s">
        <v>198</v>
      </c>
      <c r="E30" s="1412" t="str">
        <f>Translations!$B$88</f>
        <v>Šalis</v>
      </c>
      <c r="F30" s="1412"/>
      <c r="G30" s="1412"/>
      <c r="H30" s="1413"/>
      <c r="I30" s="1417" t="s">
        <v>1267</v>
      </c>
      <c r="J30" s="1418"/>
      <c r="K30" s="1418"/>
      <c r="L30" s="1418"/>
      <c r="M30" s="1418"/>
      <c r="N30" s="1419"/>
      <c r="O30" s="736"/>
      <c r="Q30" s="1098"/>
    </row>
    <row r="31" spans="1:17" s="7" customFormat="1" ht="12.75" customHeight="1">
      <c r="A31" s="770"/>
      <c r="B31" s="793"/>
      <c r="C31" s="721"/>
      <c r="D31" s="615" t="s">
        <v>199</v>
      </c>
      <c r="E31" s="1412" t="str">
        <f>Translations!$B$544</f>
        <v>Įgaliotojo atstovo pavadinimas (vardas, pavardė):</v>
      </c>
      <c r="F31" s="1412"/>
      <c r="G31" s="1412"/>
      <c r="H31" s="1413"/>
      <c r="I31" s="1423"/>
      <c r="J31" s="1424"/>
      <c r="K31" s="1424"/>
      <c r="L31" s="1424"/>
      <c r="M31" s="1424"/>
      <c r="N31" s="1425"/>
      <c r="O31" s="736"/>
      <c r="Q31" s="1098"/>
    </row>
    <row r="32" spans="1:17" s="7" customFormat="1">
      <c r="A32" s="770"/>
      <c r="B32" s="793"/>
      <c r="C32" s="721"/>
      <c r="D32" s="615" t="s">
        <v>200</v>
      </c>
      <c r="E32" s="1412" t="str">
        <f>Translations!$B$545</f>
        <v>El. paštas:</v>
      </c>
      <c r="F32" s="1412"/>
      <c r="G32" s="1412"/>
      <c r="H32" s="1413"/>
      <c r="I32" s="1423"/>
      <c r="J32" s="1424"/>
      <c r="K32" s="1424"/>
      <c r="L32" s="1424"/>
      <c r="M32" s="1424"/>
      <c r="N32" s="1425"/>
      <c r="O32" s="736"/>
      <c r="Q32" s="1098"/>
    </row>
    <row r="33" spans="1:17" s="7" customFormat="1">
      <c r="A33" s="770"/>
      <c r="B33" s="793"/>
      <c r="C33" s="721"/>
      <c r="D33" s="615" t="s">
        <v>329</v>
      </c>
      <c r="E33" s="1412" t="str">
        <f>Translations!$B$546</f>
        <v>Telefonas:</v>
      </c>
      <c r="F33" s="1412"/>
      <c r="G33" s="1412"/>
      <c r="H33" s="1413"/>
      <c r="I33" s="1465"/>
      <c r="J33" s="1466"/>
      <c r="K33" s="1466"/>
      <c r="L33" s="1466"/>
      <c r="M33" s="1466"/>
      <c r="N33" s="1467"/>
      <c r="O33" s="736"/>
      <c r="Q33" s="1098"/>
    </row>
    <row r="34" spans="1:17" s="7" customFormat="1">
      <c r="A34" s="770"/>
      <c r="B34" s="793"/>
      <c r="C34" s="721"/>
      <c r="D34" s="615" t="s">
        <v>330</v>
      </c>
      <c r="E34" s="1393" t="str">
        <f>Translations!$B$547</f>
        <v>Faksas:</v>
      </c>
      <c r="F34" s="1393"/>
      <c r="G34" s="1393"/>
      <c r="H34" s="1394"/>
      <c r="I34" s="1437"/>
      <c r="J34" s="1437"/>
      <c r="K34" s="1437"/>
      <c r="L34" s="1437"/>
      <c r="M34" s="1437"/>
      <c r="N34" s="1437"/>
      <c r="O34" s="736"/>
      <c r="Q34" s="1098"/>
    </row>
    <row r="35" spans="1:17" s="7" customFormat="1" ht="12.75" customHeight="1">
      <c r="A35" s="770"/>
      <c r="B35" s="789"/>
      <c r="C35" s="727"/>
      <c r="D35" s="166"/>
      <c r="E35" s="5"/>
      <c r="F35" s="5"/>
      <c r="G35" s="5"/>
      <c r="H35" s="5"/>
      <c r="I35" s="5"/>
      <c r="J35" s="5"/>
      <c r="K35" s="5"/>
      <c r="L35" s="5"/>
      <c r="M35" s="344"/>
      <c r="N35" s="344"/>
      <c r="O35" s="732"/>
      <c r="Q35" s="1098"/>
    </row>
    <row r="36" spans="1:17" ht="5.0999999999999996" customHeight="1">
      <c r="A36" s="765"/>
      <c r="B36" s="793"/>
      <c r="C36" s="727"/>
      <c r="D36" s="769"/>
      <c r="E36" s="206"/>
      <c r="F36" s="206"/>
      <c r="G36" s="206"/>
      <c r="H36" s="206"/>
      <c r="I36" s="206"/>
      <c r="J36" s="206"/>
      <c r="K36" s="206"/>
      <c r="L36" s="206"/>
      <c r="M36" s="206"/>
      <c r="N36" s="206"/>
      <c r="O36" s="736"/>
    </row>
    <row r="37" spans="1:17" ht="15.75">
      <c r="A37" s="765"/>
      <c r="B37" s="793"/>
      <c r="C37" s="724">
        <v>3</v>
      </c>
      <c r="D37" s="1411" t="str">
        <f>Translations!$B$548</f>
        <v>Informacija apie Jūsų įrenginį ir stebėsenos planą</v>
      </c>
      <c r="E37" s="1411"/>
      <c r="F37" s="1411"/>
      <c r="G37" s="1411"/>
      <c r="H37" s="1411"/>
      <c r="I37" s="1411"/>
      <c r="J37" s="1411"/>
      <c r="K37" s="1411"/>
      <c r="L37" s="1411"/>
      <c r="M37" s="1411"/>
      <c r="N37" s="1411"/>
      <c r="O37" s="736"/>
    </row>
    <row r="38" spans="1:17">
      <c r="A38" s="765"/>
      <c r="B38" s="793"/>
      <c r="C38" s="727"/>
      <c r="D38" s="769"/>
      <c r="E38" s="206"/>
      <c r="F38" s="206"/>
      <c r="G38" s="206"/>
      <c r="H38" s="206"/>
      <c r="I38" s="206"/>
      <c r="J38" s="206"/>
      <c r="K38" s="206"/>
      <c r="L38" s="206"/>
      <c r="M38" s="206"/>
      <c r="N38" s="206"/>
      <c r="O38" s="736"/>
    </row>
    <row r="39" spans="1:17">
      <c r="A39" s="765"/>
      <c r="B39" s="793"/>
      <c r="C39" s="727"/>
      <c r="D39" s="779"/>
      <c r="E39" s="1401" t="str">
        <f>Translations!$B$82</f>
        <v>Čia pateikite konkrečias valstybės narės gaires dėl įrenginių pavadinimų.</v>
      </c>
      <c r="F39" s="1402"/>
      <c r="G39" s="1402"/>
      <c r="H39" s="1402"/>
      <c r="I39" s="1402"/>
      <c r="J39" s="1402"/>
      <c r="K39" s="1402"/>
      <c r="L39" s="1402"/>
      <c r="M39" s="1402"/>
      <c r="N39" s="1402"/>
      <c r="O39" s="736"/>
    </row>
    <row r="40" spans="1:17" ht="5.0999999999999996" customHeight="1">
      <c r="A40" s="765"/>
      <c r="B40" s="793"/>
      <c r="C40" s="727"/>
      <c r="D40" s="779"/>
      <c r="E40" s="206"/>
      <c r="F40" s="206"/>
      <c r="G40" s="206"/>
      <c r="H40" s="206"/>
      <c r="I40" s="206"/>
      <c r="J40" s="206"/>
      <c r="K40" s="206"/>
      <c r="L40" s="206"/>
      <c r="M40" s="206"/>
      <c r="N40" s="206"/>
      <c r="O40" s="736"/>
    </row>
    <row r="41" spans="1:17" ht="15.75">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c r="A42" s="765"/>
      <c r="B42" s="793"/>
      <c r="C42" s="727"/>
      <c r="D42" s="779"/>
      <c r="E42" s="775"/>
      <c r="F42" s="775"/>
      <c r="G42" s="775"/>
      <c r="H42" s="775"/>
      <c r="I42" s="206"/>
      <c r="J42" s="206"/>
      <c r="K42" s="206"/>
      <c r="L42" s="206"/>
      <c r="M42" s="776"/>
      <c r="N42" s="206"/>
      <c r="O42" s="736"/>
    </row>
    <row r="43" spans="1:17" ht="12.75" customHeight="1">
      <c r="A43" s="765"/>
      <c r="B43" s="793"/>
      <c r="C43" s="727"/>
      <c r="D43" s="777" t="s">
        <v>4</v>
      </c>
      <c r="E43" s="1412" t="str">
        <f>Translations!$B$13</f>
        <v>Įrenginio pavadinimas</v>
      </c>
      <c r="F43" s="1412"/>
      <c r="G43" s="1412"/>
      <c r="H43" s="1413"/>
      <c r="I43" s="1414" t="s">
        <v>1791</v>
      </c>
      <c r="J43" s="1415"/>
      <c r="K43" s="1415"/>
      <c r="L43" s="1415"/>
      <c r="M43" s="1415"/>
      <c r="N43" s="1416"/>
      <c r="O43" s="736"/>
    </row>
    <row r="44" spans="1:17">
      <c r="A44" s="765"/>
      <c r="B44" s="793"/>
      <c r="C44" s="727"/>
      <c r="D44" s="777" t="s">
        <v>5</v>
      </c>
      <c r="E44" s="1412" t="str">
        <f>Translations!$B$81</f>
        <v>Teritorijos pavadinimas</v>
      </c>
      <c r="F44" s="1412"/>
      <c r="G44" s="1412"/>
      <c r="H44" s="1413"/>
      <c r="I44" s="1420" t="s">
        <v>1792</v>
      </c>
      <c r="J44" s="1421"/>
      <c r="K44" s="1421"/>
      <c r="L44" s="1421"/>
      <c r="M44" s="1421"/>
      <c r="N44" s="1422"/>
      <c r="O44" s="736"/>
    </row>
    <row r="45" spans="1:17" ht="12.75" customHeight="1">
      <c r="A45" s="765"/>
      <c r="B45" s="793"/>
      <c r="C45" s="727"/>
      <c r="D45" s="777" t="s">
        <v>196</v>
      </c>
      <c r="E45" s="1393" t="str">
        <f>Translations!$B$549</f>
        <v>Unikalus įrenginio identifikatorius:</v>
      </c>
      <c r="F45" s="1393"/>
      <c r="G45" s="1393"/>
      <c r="H45" s="1394"/>
      <c r="I45" s="1455" t="s">
        <v>1793</v>
      </c>
      <c r="J45" s="1456"/>
      <c r="K45" s="1456"/>
      <c r="L45" s="1456"/>
      <c r="M45" s="1456"/>
      <c r="N45" s="1457"/>
      <c r="O45" s="736"/>
    </row>
    <row r="46" spans="1:17" ht="12.75" customHeight="1">
      <c r="A46" s="765"/>
      <c r="B46" s="793"/>
      <c r="C46" s="727"/>
      <c r="D46" s="777"/>
      <c r="E46" s="777"/>
      <c r="F46" s="777"/>
      <c r="G46" s="777"/>
      <c r="H46" s="777"/>
      <c r="I46" s="777"/>
      <c r="J46" s="777"/>
      <c r="K46" s="777"/>
      <c r="L46" s="777"/>
      <c r="M46" s="777"/>
      <c r="N46" s="777"/>
      <c r="O46" s="736"/>
    </row>
    <row r="47" spans="1:17">
      <c r="A47" s="765"/>
      <c r="B47" s="793"/>
      <c r="C47" s="727"/>
      <c r="D47" s="180" t="s">
        <v>2</v>
      </c>
      <c r="E47" s="1383" t="str">
        <f>Translations!$B$83</f>
        <v>Įrenginio adresas arba jo buvimo vieta</v>
      </c>
      <c r="F47" s="1384"/>
      <c r="G47" s="1384"/>
      <c r="H47" s="1384"/>
      <c r="I47" s="1384"/>
      <c r="J47" s="1384"/>
      <c r="K47" s="206"/>
      <c r="L47" s="206"/>
      <c r="M47" s="206"/>
      <c r="N47" s="206"/>
      <c r="O47" s="736"/>
    </row>
    <row r="48" spans="1:17" ht="5.0999999999999996" customHeight="1">
      <c r="A48" s="765"/>
      <c r="B48" s="793"/>
      <c r="C48" s="727"/>
      <c r="D48" s="779"/>
      <c r="E48" s="206"/>
      <c r="F48" s="206"/>
      <c r="G48" s="206"/>
      <c r="H48" s="206"/>
      <c r="I48" s="206"/>
      <c r="J48" s="206"/>
      <c r="K48" s="206"/>
      <c r="L48" s="206"/>
      <c r="M48" s="206"/>
      <c r="N48" s="206"/>
      <c r="O48" s="736"/>
    </row>
    <row r="49" spans="1:17" ht="12.75" customHeight="1">
      <c r="A49" s="765"/>
      <c r="B49" s="793"/>
      <c r="C49" s="727"/>
      <c r="D49" s="777" t="s">
        <v>4</v>
      </c>
      <c r="E49" s="1412" t="str">
        <f>Translations!$B$84</f>
        <v>1 adreso eilutė</v>
      </c>
      <c r="F49" s="1412"/>
      <c r="G49" s="1412"/>
      <c r="H49" s="1413"/>
      <c r="I49" s="1468" t="s">
        <v>1794</v>
      </c>
      <c r="J49" s="1469"/>
      <c r="K49" s="1469"/>
      <c r="L49" s="1469"/>
      <c r="M49" s="1469"/>
      <c r="N49" s="1470"/>
      <c r="O49" s="736"/>
    </row>
    <row r="50" spans="1:17" ht="12.75" customHeight="1">
      <c r="A50" s="765"/>
      <c r="B50" s="793"/>
      <c r="C50" s="727"/>
      <c r="D50" s="777" t="s">
        <v>5</v>
      </c>
      <c r="E50" s="1412" t="str">
        <f>Translations!$B$85</f>
        <v>2 adreso eilutė</v>
      </c>
      <c r="F50" s="1412"/>
      <c r="G50" s="1412"/>
      <c r="H50" s="1413"/>
      <c r="I50" s="1380"/>
      <c r="J50" s="1381"/>
      <c r="K50" s="1381"/>
      <c r="L50" s="1381"/>
      <c r="M50" s="1381"/>
      <c r="N50" s="1382"/>
      <c r="O50" s="736"/>
    </row>
    <row r="51" spans="1:17">
      <c r="A51" s="765"/>
      <c r="B51" s="793"/>
      <c r="C51" s="727"/>
      <c r="D51" s="777" t="s">
        <v>196</v>
      </c>
      <c r="E51" s="1412" t="str">
        <f>Translations!$B$86</f>
        <v>Miestas:</v>
      </c>
      <c r="F51" s="1412"/>
      <c r="G51" s="1412"/>
      <c r="H51" s="1413"/>
      <c r="I51" s="1417" t="s">
        <v>1790</v>
      </c>
      <c r="J51" s="1418"/>
      <c r="K51" s="1418"/>
      <c r="L51" s="1418"/>
      <c r="M51" s="1418"/>
      <c r="N51" s="1419"/>
      <c r="O51" s="736"/>
    </row>
    <row r="52" spans="1:17" ht="12.75" customHeight="1">
      <c r="A52" s="765"/>
      <c r="B52" s="793"/>
      <c r="C52" s="727"/>
      <c r="D52" s="777" t="s">
        <v>197</v>
      </c>
      <c r="E52" s="1412" t="str">
        <f>Translations!$B$87</f>
        <v>Valstybė / provincija / regionas</v>
      </c>
      <c r="F52" s="1412"/>
      <c r="G52" s="1412"/>
      <c r="H52" s="1413"/>
      <c r="I52" s="1417" t="s">
        <v>1795</v>
      </c>
      <c r="J52" s="1418"/>
      <c r="K52" s="1418"/>
      <c r="L52" s="1418"/>
      <c r="M52" s="1418"/>
      <c r="N52" s="1419"/>
      <c r="O52" s="736"/>
    </row>
    <row r="53" spans="1:17">
      <c r="A53" s="765"/>
      <c r="B53" s="793"/>
      <c r="C53" s="727"/>
      <c r="D53" s="777" t="s">
        <v>198</v>
      </c>
      <c r="E53" s="1412" t="str">
        <f>Translations!$B$543</f>
        <v>Pašto kodas:</v>
      </c>
      <c r="F53" s="1412"/>
      <c r="G53" s="1412"/>
      <c r="H53" s="1413"/>
      <c r="I53" s="1417" t="s">
        <v>1796</v>
      </c>
      <c r="J53" s="1418"/>
      <c r="K53" s="1418"/>
      <c r="L53" s="1418"/>
      <c r="M53" s="1418"/>
      <c r="N53" s="1419"/>
      <c r="O53" s="736"/>
    </row>
    <row r="54" spans="1:17">
      <c r="A54" s="765"/>
      <c r="B54" s="793"/>
      <c r="C54" s="727"/>
      <c r="D54" s="777" t="s">
        <v>199</v>
      </c>
      <c r="E54" s="1393" t="str">
        <f>Translations!$B$88</f>
        <v>Šalis</v>
      </c>
      <c r="F54" s="1393"/>
      <c r="G54" s="1393"/>
      <c r="H54" s="1394"/>
      <c r="I54" s="1460" t="s">
        <v>1267</v>
      </c>
      <c r="J54" s="1460"/>
      <c r="K54" s="1460"/>
      <c r="L54" s="1460"/>
      <c r="M54" s="1460"/>
      <c r="N54" s="1460"/>
      <c r="O54" s="736"/>
    </row>
    <row r="55" spans="1:17" s="7" customFormat="1" ht="4.9000000000000004" customHeight="1">
      <c r="A55" s="765"/>
      <c r="B55" s="793"/>
      <c r="C55" s="1064"/>
      <c r="D55" s="1065"/>
      <c r="E55" s="205"/>
      <c r="F55" s="1066"/>
      <c r="G55" s="1067"/>
      <c r="H55" s="206"/>
      <c r="I55" s="206"/>
      <c r="J55" s="206"/>
      <c r="K55" s="206"/>
      <c r="L55" s="206"/>
      <c r="M55" s="206"/>
      <c r="N55" s="206"/>
      <c r="O55" s="736"/>
      <c r="P55" s="202"/>
      <c r="Q55" s="1098"/>
    </row>
    <row r="56" spans="1:17" s="7" customFormat="1" ht="12.75" customHeight="1">
      <c r="A56" s="765"/>
      <c r="B56" s="793"/>
      <c r="C56" s="1068"/>
      <c r="D56" s="1069" t="s">
        <v>200</v>
      </c>
      <c r="E56" s="1393" t="str">
        <f>Translations!$B$550</f>
        <v>Pagrindinio patekimo į objektą geografinės koordinatės:</v>
      </c>
      <c r="F56" s="1393"/>
      <c r="G56" s="1393"/>
      <c r="H56" s="1394"/>
      <c r="I56" s="1462" t="s">
        <v>1797</v>
      </c>
      <c r="J56" s="1463"/>
      <c r="K56" s="1463"/>
      <c r="L56" s="1464"/>
      <c r="M56" s="59"/>
      <c r="N56" s="59"/>
      <c r="O56" s="736"/>
      <c r="P56" s="202"/>
      <c r="Q56" s="1098"/>
    </row>
    <row r="57" spans="1:17" ht="12.75" customHeight="1">
      <c r="A57" s="765"/>
      <c r="B57" s="793"/>
      <c r="C57" s="727"/>
      <c r="D57" s="769"/>
      <c r="E57" s="1401" t="str">
        <f>Translations!$B$89</f>
        <v>Čia pateikite konkrečias valstybės narės gaires dėl koordinačių nuorodų teikimo.</v>
      </c>
      <c r="F57" s="1438"/>
      <c r="G57" s="1438"/>
      <c r="H57" s="1438"/>
      <c r="I57" s="1438"/>
      <c r="J57" s="1438"/>
      <c r="K57" s="1438"/>
      <c r="L57" s="1438"/>
      <c r="M57" s="1438"/>
      <c r="N57" s="1438"/>
      <c r="O57" s="736"/>
    </row>
    <row r="58" spans="1:17" ht="12.75" customHeight="1">
      <c r="A58" s="765"/>
      <c r="B58" s="793"/>
      <c r="C58" s="727"/>
      <c r="D58" s="777"/>
      <c r="E58" s="777"/>
      <c r="F58" s="777"/>
      <c r="G58" s="777"/>
      <c r="H58" s="777"/>
      <c r="I58" s="777"/>
      <c r="J58" s="777"/>
      <c r="K58" s="777"/>
      <c r="L58" s="777"/>
      <c r="M58" s="777"/>
      <c r="N58" s="777"/>
      <c r="O58" s="736"/>
    </row>
    <row r="59" spans="1:17" ht="12.75" customHeight="1">
      <c r="A59" s="765"/>
      <c r="B59" s="793"/>
      <c r="C59" s="727"/>
      <c r="D59" s="180" t="s">
        <v>44</v>
      </c>
      <c r="E59" s="1383" t="str">
        <f>Translations!$B$551</f>
        <v>Ataskaitų teikimas pagal Reglamentą (EB) Nr. 166/2006 (EIPTR):</v>
      </c>
      <c r="F59" s="1384"/>
      <c r="G59" s="1384"/>
      <c r="H59" s="1384"/>
      <c r="I59" s="1384"/>
      <c r="J59" s="1384"/>
      <c r="K59" s="777"/>
      <c r="L59" s="777"/>
      <c r="M59" s="777"/>
      <c r="N59" s="777"/>
      <c r="O59" s="1103"/>
    </row>
    <row r="60" spans="1:17" ht="5.0999999999999996" customHeight="1">
      <c r="A60" s="765"/>
      <c r="B60" s="793"/>
      <c r="C60" s="727"/>
      <c r="D60" s="777"/>
      <c r="E60" s="777"/>
      <c r="F60" s="777"/>
      <c r="G60" s="777"/>
      <c r="H60" s="777"/>
      <c r="I60" s="777"/>
      <c r="J60" s="777"/>
      <c r="K60" s="777"/>
      <c r="L60" s="777"/>
      <c r="M60" s="777"/>
      <c r="N60" s="777"/>
      <c r="O60" s="736"/>
    </row>
    <row r="61" spans="1:17" ht="12.75" customHeight="1">
      <c r="A61" s="765"/>
      <c r="B61" s="793"/>
      <c r="C61" s="727"/>
      <c r="D61" s="777" t="s">
        <v>4</v>
      </c>
      <c r="E61" s="1393" t="str">
        <f>Translations!$B$552</f>
        <v>Įrenginys privalo teikti ataskaitas pagal reglamentą dėl EIPTR:</v>
      </c>
      <c r="F61" s="1393"/>
      <c r="G61" s="1393"/>
      <c r="H61" s="1394"/>
      <c r="I61" s="1121" t="b">
        <v>0</v>
      </c>
      <c r="J61" s="777"/>
      <c r="K61" s="777"/>
      <c r="L61" s="777"/>
      <c r="M61" s="777"/>
      <c r="N61" s="777"/>
      <c r="O61" s="1103"/>
    </row>
    <row r="62" spans="1:17" ht="5.0999999999999996" customHeight="1">
      <c r="A62" s="765"/>
      <c r="B62" s="793"/>
      <c r="C62" s="727"/>
      <c r="D62" s="777"/>
      <c r="E62" s="777"/>
      <c r="F62" s="777"/>
      <c r="G62" s="777"/>
      <c r="H62" s="777"/>
      <c r="I62" s="777"/>
      <c r="J62" s="777"/>
      <c r="K62" s="777"/>
      <c r="L62" s="777"/>
      <c r="M62" s="777"/>
      <c r="N62" s="777"/>
      <c r="O62" s="1103"/>
    </row>
    <row r="63" spans="1:17" ht="12.75" customHeight="1">
      <c r="A63" s="765"/>
      <c r="B63" s="793"/>
      <c r="C63" s="727"/>
      <c r="D63" s="777" t="s">
        <v>5</v>
      </c>
      <c r="E63" s="1393" t="str">
        <f>Translations!$B$553</f>
        <v>EIPTR identifikatorius:</v>
      </c>
      <c r="F63" s="1393"/>
      <c r="G63" s="1393"/>
      <c r="H63" s="1394"/>
      <c r="I63" s="1461"/>
      <c r="J63" s="1461"/>
      <c r="K63" s="1461"/>
      <c r="L63" s="1461"/>
      <c r="M63" s="1461"/>
      <c r="N63" s="1461"/>
      <c r="O63" s="1103"/>
      <c r="Q63" s="1101" t="b">
        <f>AND(I61&lt;&gt;"",I61=FALSE)</f>
        <v>1</v>
      </c>
    </row>
    <row r="64" spans="1:17" ht="5.0999999999999996" customHeight="1">
      <c r="A64" s="765"/>
      <c r="B64" s="793"/>
      <c r="C64" s="727"/>
      <c r="D64" s="779"/>
      <c r="O64" s="1103"/>
    </row>
    <row r="65" spans="1:17">
      <c r="A65" s="765"/>
      <c r="B65" s="793"/>
      <c r="C65" s="727"/>
      <c r="D65" s="777" t="s">
        <v>196</v>
      </c>
      <c r="E65" s="1412" t="str">
        <f>Translations!$B$554</f>
        <v>Pagrindinė veikla pagal reglamento dėl EIPTR I priedą:</v>
      </c>
      <c r="F65" s="1412"/>
      <c r="G65" s="1412"/>
      <c r="H65" s="1413"/>
      <c r="I65" s="1471"/>
      <c r="J65" s="1471"/>
      <c r="K65" s="1471"/>
      <c r="L65" s="1471"/>
      <c r="M65" s="1471"/>
      <c r="N65" s="1471"/>
      <c r="O65" s="1103"/>
      <c r="Q65" s="1101" t="b">
        <f>Q63</f>
        <v>1</v>
      </c>
    </row>
    <row r="66" spans="1:17">
      <c r="A66" s="765"/>
      <c r="B66" s="793"/>
      <c r="C66" s="727"/>
      <c r="D66" s="777" t="s">
        <v>197</v>
      </c>
      <c r="E66" s="1393" t="str">
        <f>Translations!$B$555</f>
        <v>Kita veikla pagal reglamento dėl EIPTR I priedą:</v>
      </c>
      <c r="F66" s="1393"/>
      <c r="G66" s="1393"/>
      <c r="H66" s="1394"/>
      <c r="I66" s="1439"/>
      <c r="J66" s="1439"/>
      <c r="K66" s="1439"/>
      <c r="L66" s="1439"/>
      <c r="M66" s="1439"/>
      <c r="N66" s="1439"/>
      <c r="O66" s="1103"/>
      <c r="Q66" s="1101" t="b">
        <f>Q65</f>
        <v>1</v>
      </c>
    </row>
    <row r="67" spans="1:17" ht="12.75" customHeight="1">
      <c r="A67" s="765"/>
      <c r="B67" s="793"/>
      <c r="C67" s="727"/>
      <c r="D67" s="779"/>
      <c r="I67" s="1454"/>
      <c r="J67" s="1454"/>
      <c r="K67" s="1454"/>
      <c r="L67" s="1454"/>
      <c r="M67" s="1454"/>
      <c r="N67" s="1454"/>
      <c r="O67" s="1103"/>
      <c r="Q67" s="1101" t="b">
        <f>Q66</f>
        <v>1</v>
      </c>
    </row>
    <row r="68" spans="1:17" ht="12.75" customHeight="1">
      <c r="A68" s="765"/>
      <c r="B68" s="793"/>
      <c r="C68" s="727"/>
      <c r="D68" s="779"/>
      <c r="I68" s="1454"/>
      <c r="J68" s="1454"/>
      <c r="K68" s="1454"/>
      <c r="L68" s="1454"/>
      <c r="M68" s="1454"/>
      <c r="N68" s="1454"/>
      <c r="O68" s="1103"/>
      <c r="Q68" s="1101" t="b">
        <f>Q67</f>
        <v>1</v>
      </c>
    </row>
    <row r="69" spans="1:17" ht="12.75" customHeight="1">
      <c r="A69" s="765"/>
      <c r="B69" s="793"/>
      <c r="C69" s="727"/>
      <c r="D69" s="779"/>
      <c r="I69" s="1437"/>
      <c r="J69" s="1437"/>
      <c r="K69" s="1437"/>
      <c r="L69" s="1437"/>
      <c r="M69" s="1437"/>
      <c r="N69" s="1437"/>
      <c r="O69" s="1103"/>
      <c r="Q69" s="1101" t="b">
        <f>Q68</f>
        <v>1</v>
      </c>
    </row>
    <row r="70" spans="1:17">
      <c r="A70" s="765"/>
      <c r="B70" s="793"/>
      <c r="C70" s="727"/>
      <c r="D70" s="779"/>
      <c r="O70" s="736"/>
    </row>
    <row r="71" spans="1:17">
      <c r="A71" s="765"/>
      <c r="B71" s="793"/>
      <c r="C71" s="727"/>
      <c r="D71" s="180" t="s">
        <v>3</v>
      </c>
      <c r="E71" s="1393" t="str">
        <f>Translations!$B$556</f>
        <v>Kompetentinga institucija leidimų suteikimo klausimams</v>
      </c>
      <c r="F71" s="1393"/>
      <c r="G71" s="1393"/>
      <c r="H71" s="1394"/>
      <c r="I71" s="1395" t="s">
        <v>1785</v>
      </c>
      <c r="J71" s="1395"/>
      <c r="K71" s="1395"/>
      <c r="L71" s="1395"/>
      <c r="M71" s="1395"/>
      <c r="N71" s="1395"/>
      <c r="O71" s="1103"/>
    </row>
    <row r="72" spans="1:17" ht="4.9000000000000004" customHeight="1">
      <c r="A72" s="765"/>
      <c r="B72" s="793"/>
      <c r="C72" s="727"/>
      <c r="D72" s="180"/>
      <c r="E72" s="268"/>
      <c r="F72" s="268"/>
      <c r="G72" s="268"/>
      <c r="H72" s="206"/>
      <c r="I72" s="268"/>
      <c r="J72" s="12"/>
      <c r="K72" s="206"/>
      <c r="L72" s="206"/>
      <c r="M72" s="206"/>
      <c r="N72" s="206"/>
      <c r="O72" s="736"/>
    </row>
    <row r="73" spans="1:17">
      <c r="A73" s="765"/>
      <c r="B73" s="793"/>
      <c r="C73" s="727"/>
      <c r="D73" s="180" t="s">
        <v>583</v>
      </c>
      <c r="E73" s="1393" t="str">
        <f>Translations!$B$557</f>
        <v>Naujausios patvirtintos stebėsenos plano versijos numeris</v>
      </c>
      <c r="F73" s="1393"/>
      <c r="G73" s="1393"/>
      <c r="H73" s="1394"/>
      <c r="I73" s="1395" t="s">
        <v>1798</v>
      </c>
      <c r="J73" s="1395"/>
      <c r="K73" s="1395"/>
      <c r="L73" s="1395"/>
      <c r="M73" s="1395"/>
      <c r="N73" s="1395"/>
      <c r="O73" s="736"/>
    </row>
    <row r="74" spans="1:17" ht="4.9000000000000004" customHeight="1">
      <c r="A74" s="765"/>
      <c r="B74" s="793"/>
      <c r="C74" s="727"/>
      <c r="D74" s="180"/>
      <c r="E74" s="268"/>
      <c r="F74" s="268"/>
      <c r="G74" s="268"/>
      <c r="H74" s="206"/>
      <c r="I74" s="206"/>
      <c r="J74" s="206"/>
      <c r="K74" s="206"/>
      <c r="L74" s="206"/>
      <c r="M74" s="205"/>
      <c r="N74" s="204"/>
      <c r="O74" s="745"/>
    </row>
    <row r="75" spans="1:17" ht="25.5" customHeight="1">
      <c r="A75" s="765"/>
      <c r="B75" s="793"/>
      <c r="C75" s="727"/>
      <c r="D75" s="180" t="s">
        <v>584</v>
      </c>
      <c r="E75" s="1393" t="str">
        <f>Translations!$B$558</f>
        <v>Ar padaryta stebėsenos plano pakeitimų, palyginti su ankstesniais metais?</v>
      </c>
      <c r="F75" s="1393"/>
      <c r="G75" s="1393"/>
      <c r="H75" s="1394"/>
      <c r="I75" s="1026" t="b">
        <v>0</v>
      </c>
      <c r="J75" s="242"/>
      <c r="K75" s="242"/>
      <c r="L75" s="242"/>
      <c r="M75" s="242"/>
      <c r="N75" s="242"/>
      <c r="O75" s="736"/>
    </row>
    <row r="76" spans="1:17" ht="12.75" customHeight="1">
      <c r="A76" s="765"/>
      <c r="B76" s="793"/>
      <c r="C76" s="727"/>
      <c r="D76" s="180"/>
      <c r="E76" s="242"/>
      <c r="F76" s="242"/>
      <c r="G76" s="242"/>
      <c r="H76" s="242"/>
      <c r="I76" s="242"/>
      <c r="J76" s="242"/>
      <c r="K76" s="242"/>
      <c r="L76" s="242"/>
      <c r="M76" s="242"/>
      <c r="N76" s="242"/>
      <c r="O76" s="736"/>
    </row>
    <row r="77" spans="1:17" ht="12.75" customHeight="1">
      <c r="A77" s="765"/>
      <c r="B77" s="793"/>
      <c r="C77" s="727"/>
      <c r="D77" s="180" t="s">
        <v>586</v>
      </c>
      <c r="E77" s="1391" t="str">
        <f>Translations!$B$160</f>
        <v>Pastabos:</v>
      </c>
      <c r="F77" s="1391"/>
      <c r="G77" s="1391"/>
      <c r="H77" s="1391"/>
      <c r="I77" s="1391"/>
      <c r="J77" s="1391"/>
      <c r="K77" s="1391"/>
      <c r="L77" s="1391"/>
      <c r="M77" s="1391"/>
      <c r="N77" s="1391"/>
      <c r="O77" s="736"/>
    </row>
    <row r="78" spans="1:17" ht="38.85" customHeight="1">
      <c r="A78" s="765"/>
      <c r="B78" s="793"/>
      <c r="C78" s="727"/>
      <c r="D78" s="180"/>
      <c r="E78" s="1378"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8"/>
      <c r="G78" s="1378"/>
      <c r="H78" s="1378"/>
      <c r="I78" s="1378"/>
      <c r="J78" s="1378"/>
      <c r="K78" s="1378"/>
      <c r="L78" s="1378"/>
      <c r="M78" s="1378"/>
      <c r="N78" s="1378"/>
      <c r="O78" s="736"/>
    </row>
    <row r="79" spans="1:17" ht="25.5" customHeight="1">
      <c r="A79" s="765"/>
      <c r="B79" s="793"/>
      <c r="C79" s="727"/>
      <c r="D79" s="180"/>
      <c r="E79" s="139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96"/>
      <c r="G79" s="1396"/>
      <c r="H79" s="1396"/>
      <c r="I79" s="1396"/>
      <c r="J79" s="1396"/>
      <c r="K79" s="1396"/>
      <c r="L79" s="1396"/>
      <c r="M79" s="1396"/>
      <c r="N79" s="1396"/>
      <c r="O79" s="736"/>
    </row>
    <row r="80" spans="1:17" ht="12.75" customHeight="1">
      <c r="A80" s="765"/>
      <c r="B80" s="793"/>
      <c r="C80" s="727"/>
      <c r="D80" s="180"/>
      <c r="E80" s="242"/>
      <c r="F80" s="242"/>
      <c r="G80" s="242"/>
      <c r="H80" s="242"/>
      <c r="I80" s="1440" t="s">
        <v>1799</v>
      </c>
      <c r="J80" s="1441"/>
      <c r="K80" s="1441"/>
      <c r="L80" s="1441"/>
      <c r="M80" s="1441"/>
      <c r="N80" s="1442"/>
      <c r="O80" s="736"/>
    </row>
    <row r="81" spans="1:17" ht="12.75" customHeight="1">
      <c r="A81" s="765"/>
      <c r="B81" s="793"/>
      <c r="C81" s="727"/>
      <c r="D81" s="180"/>
      <c r="E81" s="242"/>
      <c r="F81" s="242"/>
      <c r="G81" s="242"/>
      <c r="H81" s="242"/>
      <c r="I81" s="1472"/>
      <c r="J81" s="1473"/>
      <c r="K81" s="1473"/>
      <c r="L81" s="1473"/>
      <c r="M81" s="1473"/>
      <c r="N81" s="1474"/>
      <c r="O81" s="736"/>
    </row>
    <row r="82" spans="1:17" ht="12.75" customHeight="1">
      <c r="A82" s="765"/>
      <c r="B82" s="793"/>
      <c r="C82" s="727"/>
      <c r="D82" s="180"/>
      <c r="E82" s="242"/>
      <c r="F82" s="242"/>
      <c r="G82" s="242"/>
      <c r="H82" s="242"/>
      <c r="I82" s="1472"/>
      <c r="J82" s="1473"/>
      <c r="K82" s="1473"/>
      <c r="L82" s="1473"/>
      <c r="M82" s="1473"/>
      <c r="N82" s="1474"/>
      <c r="O82" s="736"/>
    </row>
    <row r="83" spans="1:17" ht="12.75" customHeight="1">
      <c r="A83" s="765"/>
      <c r="B83" s="793"/>
      <c r="C83" s="727"/>
      <c r="D83" s="180"/>
      <c r="E83" s="242"/>
      <c r="F83" s="242"/>
      <c r="G83" s="242"/>
      <c r="H83" s="242"/>
      <c r="I83" s="1472"/>
      <c r="J83" s="1473"/>
      <c r="K83" s="1473"/>
      <c r="L83" s="1473"/>
      <c r="M83" s="1473"/>
      <c r="N83" s="1474"/>
      <c r="O83" s="736"/>
    </row>
    <row r="84" spans="1:17" ht="12.75" customHeight="1">
      <c r="A84" s="765"/>
      <c r="B84" s="793"/>
      <c r="C84" s="727"/>
      <c r="D84" s="180"/>
      <c r="E84" s="242"/>
      <c r="F84" s="242"/>
      <c r="G84" s="242"/>
      <c r="H84" s="242"/>
      <c r="I84" s="1431"/>
      <c r="J84" s="1432"/>
      <c r="K84" s="1432"/>
      <c r="L84" s="1432"/>
      <c r="M84" s="1432"/>
      <c r="N84" s="1433"/>
      <c r="O84" s="736"/>
    </row>
    <row r="85" spans="1:17">
      <c r="A85" s="765"/>
      <c r="B85" s="793"/>
      <c r="C85" s="727"/>
      <c r="D85" s="769"/>
      <c r="E85" s="206"/>
      <c r="F85" s="206"/>
      <c r="G85" s="206"/>
      <c r="H85" s="206"/>
      <c r="I85" s="206"/>
      <c r="J85" s="206"/>
      <c r="K85" s="206"/>
      <c r="L85" s="206"/>
      <c r="M85" s="206"/>
      <c r="N85" s="206"/>
      <c r="O85" s="736"/>
    </row>
    <row r="86" spans="1:17" ht="15.75">
      <c r="A86" s="765"/>
      <c r="B86" s="793"/>
      <c r="C86" s="717">
        <v>4</v>
      </c>
      <c r="D86" s="1411" t="str">
        <f>Translations!$B$6</f>
        <v xml:space="preserve">Kontaktiniai duomenys </v>
      </c>
      <c r="E86" s="1411"/>
      <c r="F86" s="1411"/>
      <c r="G86" s="1411"/>
      <c r="H86" s="1411"/>
      <c r="I86" s="1411"/>
      <c r="J86" s="1411"/>
      <c r="K86" s="1411"/>
      <c r="L86" s="1411"/>
      <c r="M86" s="1411"/>
      <c r="N86" s="1411"/>
      <c r="O86" s="736"/>
    </row>
    <row r="87" spans="1:17">
      <c r="A87" s="765"/>
      <c r="B87" s="793"/>
      <c r="C87" s="727"/>
      <c r="D87" s="769"/>
      <c r="E87" s="206"/>
      <c r="F87" s="206"/>
      <c r="G87" s="206"/>
      <c r="H87" s="206"/>
      <c r="I87" s="206"/>
      <c r="J87" s="206"/>
      <c r="K87" s="206"/>
      <c r="L87" s="206"/>
      <c r="M87" s="206"/>
      <c r="N87" s="206"/>
      <c r="O87" s="736"/>
    </row>
    <row r="88" spans="1:17" s="7" customFormat="1" ht="25.5" customHeight="1">
      <c r="A88" s="770"/>
      <c r="B88" s="1447"/>
      <c r="C88" s="725"/>
      <c r="D88" s="495"/>
      <c r="E88" s="1378" t="str">
        <f>Translations!$B$561</f>
        <v xml:space="preserve">Šiam reikalui paskirkite asmenis, į kuriuos kompetentinga institucija galėtų kreiptis kilus klausimų dėl šios ataskaitos. Jūsų paskirtas asmuo turėtų būti įgaliotas atstovauti veiklos vykdytojui. </v>
      </c>
      <c r="F88" s="1378"/>
      <c r="G88" s="1378"/>
      <c r="H88" s="1378"/>
      <c r="I88" s="1378"/>
      <c r="J88" s="1378"/>
      <c r="K88" s="1378"/>
      <c r="L88" s="1378"/>
      <c r="M88" s="1378"/>
      <c r="N88" s="1378"/>
      <c r="O88" s="736"/>
      <c r="Q88" s="1098"/>
    </row>
    <row r="89" spans="1:17" s="7" customFormat="1" ht="5.0999999999999996" customHeight="1">
      <c r="A89" s="770"/>
      <c r="B89" s="1447"/>
      <c r="C89" s="778"/>
      <c r="D89" s="166"/>
      <c r="E89" s="5"/>
      <c r="F89" s="5"/>
      <c r="G89" s="5"/>
      <c r="H89" s="5"/>
      <c r="I89" s="5"/>
      <c r="J89" s="5"/>
      <c r="K89" s="5"/>
      <c r="L89" s="5"/>
      <c r="M89" s="344"/>
      <c r="N89" s="344"/>
      <c r="O89" s="732"/>
      <c r="Q89" s="1098"/>
    </row>
    <row r="90" spans="1:17" s="7" customFormat="1" ht="12.75" customHeight="1">
      <c r="A90" s="770"/>
      <c r="B90" s="1447"/>
      <c r="C90" s="778"/>
      <c r="D90" s="180" t="s">
        <v>1</v>
      </c>
      <c r="E90" s="1391" t="str">
        <f>Translations!$B$562</f>
        <v>Pagrindinis kontaktinis asmuo techniniams klausimams dėl įrenginio duomenų:</v>
      </c>
      <c r="F90" s="1391"/>
      <c r="G90" s="1391"/>
      <c r="H90" s="1391"/>
      <c r="I90" s="1391"/>
      <c r="J90" s="1391"/>
      <c r="K90" s="1391"/>
      <c r="L90" s="1391"/>
      <c r="M90" s="1391"/>
      <c r="N90" s="1391"/>
      <c r="O90" s="736"/>
      <c r="Q90" s="1098"/>
    </row>
    <row r="91" spans="1:17" s="7" customFormat="1" ht="12.75" customHeight="1">
      <c r="A91" s="770"/>
      <c r="B91" s="1447"/>
      <c r="C91" s="778"/>
      <c r="D91" s="615" t="s">
        <v>4</v>
      </c>
      <c r="E91" s="1429" t="str">
        <f>Translations!$B$90</f>
        <v>Kreipinys:</v>
      </c>
      <c r="F91" s="1429"/>
      <c r="G91" s="1429"/>
      <c r="H91" s="1430"/>
      <c r="I91" s="1414" t="s">
        <v>1800</v>
      </c>
      <c r="J91" s="1415"/>
      <c r="K91" s="1415"/>
      <c r="L91" s="1415"/>
      <c r="M91" s="1415"/>
      <c r="N91" s="1416"/>
      <c r="O91" s="736"/>
      <c r="Q91" s="1098"/>
    </row>
    <row r="92" spans="1:17" s="7" customFormat="1" ht="12.75" customHeight="1">
      <c r="A92" s="770"/>
      <c r="B92" s="1447"/>
      <c r="C92" s="778"/>
      <c r="D92" s="615" t="s">
        <v>5</v>
      </c>
      <c r="E92" s="1429" t="str">
        <f>Translations!$B$563</f>
        <v>Vardas</v>
      </c>
      <c r="F92" s="1429"/>
      <c r="G92" s="1429"/>
      <c r="H92" s="1430"/>
      <c r="I92" s="1417" t="s">
        <v>1801</v>
      </c>
      <c r="J92" s="1418"/>
      <c r="K92" s="1418"/>
      <c r="L92" s="1418"/>
      <c r="M92" s="1418"/>
      <c r="N92" s="1419"/>
      <c r="O92" s="736"/>
      <c r="Q92" s="1098"/>
    </row>
    <row r="93" spans="1:17" s="7" customFormat="1" ht="12.75" customHeight="1">
      <c r="A93" s="770"/>
      <c r="B93" s="1447"/>
      <c r="C93" s="778"/>
      <c r="D93" s="615" t="s">
        <v>196</v>
      </c>
      <c r="E93" s="1070" t="str">
        <f>Translations!$B$91</f>
        <v>Pavardė:</v>
      </c>
      <c r="F93" s="1070"/>
      <c r="G93" s="1070"/>
      <c r="H93" s="1071"/>
      <c r="I93" s="1380" t="s">
        <v>1802</v>
      </c>
      <c r="J93" s="1381"/>
      <c r="K93" s="1381"/>
      <c r="L93" s="1381"/>
      <c r="M93" s="1381"/>
      <c r="N93" s="1382"/>
      <c r="O93" s="736"/>
      <c r="Q93" s="1098"/>
    </row>
    <row r="94" spans="1:17" s="7" customFormat="1" ht="12.75" customHeight="1">
      <c r="A94" s="770"/>
      <c r="B94" s="1447"/>
      <c r="C94" s="778"/>
      <c r="D94" s="615" t="s">
        <v>197</v>
      </c>
      <c r="E94" s="1070" t="str">
        <f>Translations!$B$92</f>
        <v>Pareigos</v>
      </c>
      <c r="F94" s="1070"/>
      <c r="G94" s="1070"/>
      <c r="H94" s="1071"/>
      <c r="I94" s="1380" t="s">
        <v>1803</v>
      </c>
      <c r="J94" s="1381"/>
      <c r="K94" s="1381"/>
      <c r="L94" s="1381"/>
      <c r="M94" s="1381"/>
      <c r="N94" s="1382"/>
      <c r="O94" s="736"/>
      <c r="Q94" s="1098"/>
    </row>
    <row r="95" spans="1:17" s="7" customFormat="1" ht="12.75" customHeight="1">
      <c r="A95" s="770"/>
      <c r="B95" s="1447"/>
      <c r="C95" s="778"/>
      <c r="D95" s="615" t="s">
        <v>198</v>
      </c>
      <c r="E95" s="1070" t="str">
        <f>Translations!$B$93</f>
        <v>Organizacijos pavadinimas (jei kita nei veiklos vykdytojas)</v>
      </c>
      <c r="F95" s="1070"/>
      <c r="G95" s="1070"/>
      <c r="H95" s="1071"/>
      <c r="I95" s="1380"/>
      <c r="J95" s="1458"/>
      <c r="K95" s="1458"/>
      <c r="L95" s="1458"/>
      <c r="M95" s="1458"/>
      <c r="N95" s="1459"/>
      <c r="O95" s="736"/>
      <c r="Q95" s="1098"/>
    </row>
    <row r="96" spans="1:17" s="7" customFormat="1" ht="12.75" customHeight="1">
      <c r="A96" s="770"/>
      <c r="B96" s="1447"/>
      <c r="C96" s="778"/>
      <c r="D96" s="615" t="s">
        <v>199</v>
      </c>
      <c r="E96" s="1429" t="str">
        <f>Translations!$B$545</f>
        <v>El. paštas:</v>
      </c>
      <c r="F96" s="1429"/>
      <c r="G96" s="1429"/>
      <c r="H96" s="1430"/>
      <c r="I96" s="1380" t="s">
        <v>1804</v>
      </c>
      <c r="J96" s="1381"/>
      <c r="K96" s="1381"/>
      <c r="L96" s="1381"/>
      <c r="M96" s="1381"/>
      <c r="N96" s="1382"/>
      <c r="O96" s="736"/>
      <c r="Q96" s="1098"/>
    </row>
    <row r="97" spans="1:17" s="7" customFormat="1" ht="12.75" customHeight="1">
      <c r="A97" s="770"/>
      <c r="B97" s="1447"/>
      <c r="C97" s="778"/>
      <c r="D97" s="615" t="s">
        <v>200</v>
      </c>
      <c r="E97" s="1429" t="str">
        <f>Translations!$B$546</f>
        <v>Telefonas:</v>
      </c>
      <c r="F97" s="1429"/>
      <c r="G97" s="1429"/>
      <c r="H97" s="1430"/>
      <c r="I97" s="1380" t="s">
        <v>1805</v>
      </c>
      <c r="J97" s="1381"/>
      <c r="K97" s="1381"/>
      <c r="L97" s="1381"/>
      <c r="M97" s="1381"/>
      <c r="N97" s="1382"/>
      <c r="O97" s="736"/>
      <c r="Q97" s="1098"/>
    </row>
    <row r="98" spans="1:17" s="7" customFormat="1" ht="12.75" customHeight="1">
      <c r="A98" s="770"/>
      <c r="B98" s="1447"/>
      <c r="C98" s="778"/>
      <c r="D98" s="615" t="s">
        <v>329</v>
      </c>
      <c r="E98" s="1434" t="str">
        <f>Translations!$B$547</f>
        <v>Faksas:</v>
      </c>
      <c r="F98" s="1434"/>
      <c r="G98" s="1434"/>
      <c r="H98" s="1435"/>
      <c r="I98" s="1437" t="s">
        <v>1805</v>
      </c>
      <c r="J98" s="1437"/>
      <c r="K98" s="1437"/>
      <c r="L98" s="1437"/>
      <c r="M98" s="1437"/>
      <c r="N98" s="1437"/>
      <c r="O98" s="736"/>
      <c r="Q98" s="1098"/>
    </row>
    <row r="99" spans="1:17" s="7" customFormat="1" ht="5.0999999999999996" customHeight="1">
      <c r="A99" s="770"/>
      <c r="B99" s="1447"/>
      <c r="C99" s="778"/>
      <c r="D99" s="779"/>
      <c r="E99" s="5"/>
      <c r="F99" s="5"/>
      <c r="G99" s="5"/>
      <c r="H99" s="5" t="s">
        <v>236</v>
      </c>
      <c r="I99" s="5"/>
      <c r="J99" s="345"/>
      <c r="K99" s="5"/>
      <c r="L99" s="5"/>
      <c r="M99" s="344"/>
      <c r="N99" s="344"/>
      <c r="O99" s="732"/>
      <c r="Q99" s="1098"/>
    </row>
    <row r="100" spans="1:17" s="7" customFormat="1" ht="12.75" customHeight="1">
      <c r="A100" s="770"/>
      <c r="B100" s="1447"/>
      <c r="C100" s="778"/>
      <c r="D100" s="180" t="s">
        <v>2</v>
      </c>
      <c r="E100" s="1391" t="str">
        <f>Translations!$B$564</f>
        <v>Pakaitinis kontaktinis asmuo:</v>
      </c>
      <c r="F100" s="1391"/>
      <c r="G100" s="1391"/>
      <c r="H100" s="1391"/>
      <c r="I100" s="1391"/>
      <c r="J100" s="1391"/>
      <c r="K100" s="1391"/>
      <c r="L100" s="1391"/>
      <c r="M100" s="1391"/>
      <c r="N100" s="1391"/>
      <c r="O100" s="736"/>
      <c r="Q100" s="1098"/>
    </row>
    <row r="101" spans="1:17" s="7" customFormat="1" ht="12.75" customHeight="1">
      <c r="A101" s="770"/>
      <c r="B101" s="1447"/>
      <c r="C101" s="778"/>
      <c r="D101" s="615" t="s">
        <v>4</v>
      </c>
      <c r="E101" s="1429" t="str">
        <f>Translations!$B$90</f>
        <v>Kreipinys:</v>
      </c>
      <c r="F101" s="1429"/>
      <c r="G101" s="1429"/>
      <c r="H101" s="1430"/>
      <c r="I101" s="1439"/>
      <c r="J101" s="1439"/>
      <c r="K101" s="1439"/>
      <c r="L101" s="1439"/>
      <c r="M101" s="1439"/>
      <c r="N101" s="1439"/>
      <c r="O101" s="736"/>
      <c r="Q101" s="1098"/>
    </row>
    <row r="102" spans="1:17" s="7" customFormat="1" ht="12.75" customHeight="1">
      <c r="A102" s="770"/>
      <c r="B102" s="1447"/>
      <c r="C102" s="778"/>
      <c r="D102" s="615" t="s">
        <v>5</v>
      </c>
      <c r="E102" s="1072" t="str">
        <f>Translations!$B$563</f>
        <v>Vardas</v>
      </c>
      <c r="F102" s="1072"/>
      <c r="G102" s="1072"/>
      <c r="H102" s="1073"/>
      <c r="I102" s="1443"/>
      <c r="J102" s="1444"/>
      <c r="K102" s="1444"/>
      <c r="L102" s="1444"/>
      <c r="M102" s="1444"/>
      <c r="N102" s="1445"/>
      <c r="O102" s="736"/>
      <c r="Q102" s="1098"/>
    </row>
    <row r="103" spans="1:17" s="7" customFormat="1" ht="12.75" customHeight="1">
      <c r="A103" s="770"/>
      <c r="B103" s="1447"/>
      <c r="C103" s="778"/>
      <c r="D103" s="615" t="s">
        <v>196</v>
      </c>
      <c r="E103" s="1429" t="str">
        <f>Translations!$B$91</f>
        <v>Pavardė:</v>
      </c>
      <c r="F103" s="1429"/>
      <c r="G103" s="1429"/>
      <c r="H103" s="1430"/>
      <c r="I103" s="1436"/>
      <c r="J103" s="1436"/>
      <c r="K103" s="1436"/>
      <c r="L103" s="1436"/>
      <c r="M103" s="1436"/>
      <c r="N103" s="1436"/>
      <c r="O103" s="736"/>
      <c r="Q103" s="1098"/>
    </row>
    <row r="104" spans="1:17" s="7" customFormat="1" ht="12.75" customHeight="1">
      <c r="A104" s="770"/>
      <c r="B104" s="1447"/>
      <c r="C104" s="778"/>
      <c r="D104" s="615" t="s">
        <v>197</v>
      </c>
      <c r="E104" s="1429" t="str">
        <f>Translations!$B$92</f>
        <v>Pareigos</v>
      </c>
      <c r="F104" s="1429"/>
      <c r="G104" s="1429"/>
      <c r="H104" s="1430"/>
      <c r="I104" s="1436"/>
      <c r="J104" s="1436"/>
      <c r="K104" s="1436"/>
      <c r="L104" s="1436"/>
      <c r="M104" s="1436"/>
      <c r="N104" s="1436"/>
      <c r="O104" s="736"/>
      <c r="Q104" s="1098"/>
    </row>
    <row r="105" spans="1:17" s="7" customFormat="1" ht="12.75" customHeight="1">
      <c r="A105" s="770"/>
      <c r="B105" s="1447"/>
      <c r="C105" s="778"/>
      <c r="D105" s="615" t="s">
        <v>198</v>
      </c>
      <c r="E105" s="1070" t="str">
        <f>Translations!$B$93</f>
        <v>Organizacijos pavadinimas (jei kita nei veiklos vykdytojas)</v>
      </c>
      <c r="F105" s="1070"/>
      <c r="G105" s="1070"/>
      <c r="H105" s="1071"/>
      <c r="I105" s="1436"/>
      <c r="J105" s="1436"/>
      <c r="K105" s="1436"/>
      <c r="L105" s="1436"/>
      <c r="M105" s="1436"/>
      <c r="N105" s="1436"/>
      <c r="O105" s="736"/>
      <c r="Q105" s="1098"/>
    </row>
    <row r="106" spans="1:17" s="7" customFormat="1" ht="12.75" customHeight="1">
      <c r="A106" s="770"/>
      <c r="B106" s="1447"/>
      <c r="C106" s="778"/>
      <c r="D106" s="615" t="s">
        <v>199</v>
      </c>
      <c r="E106" s="1429" t="str">
        <f>Translations!$B$545</f>
        <v>El. paštas:</v>
      </c>
      <c r="F106" s="1429"/>
      <c r="G106" s="1429"/>
      <c r="H106" s="1430"/>
      <c r="I106" s="1454"/>
      <c r="J106" s="1454"/>
      <c r="K106" s="1454"/>
      <c r="L106" s="1454"/>
      <c r="M106" s="1454"/>
      <c r="N106" s="1454"/>
      <c r="O106" s="736"/>
      <c r="Q106" s="1098"/>
    </row>
    <row r="107" spans="1:17" s="7" customFormat="1" ht="12.75" customHeight="1">
      <c r="A107" s="770"/>
      <c r="B107" s="1447"/>
      <c r="C107" s="778"/>
      <c r="D107" s="615" t="s">
        <v>200</v>
      </c>
      <c r="E107" s="1429" t="str">
        <f>Translations!$B$546</f>
        <v>Telefonas:</v>
      </c>
      <c r="F107" s="1429"/>
      <c r="G107" s="1429"/>
      <c r="H107" s="1430"/>
      <c r="I107" s="1446"/>
      <c r="J107" s="1446"/>
      <c r="K107" s="1446"/>
      <c r="L107" s="1446"/>
      <c r="M107" s="1446"/>
      <c r="N107" s="1446"/>
      <c r="O107" s="736"/>
      <c r="Q107" s="1098"/>
    </row>
    <row r="108" spans="1:17" s="7" customFormat="1" ht="12.75" customHeight="1">
      <c r="A108" s="770"/>
      <c r="B108" s="1447"/>
      <c r="C108" s="778"/>
      <c r="D108" s="615" t="s">
        <v>329</v>
      </c>
      <c r="E108" s="1434" t="str">
        <f>Translations!$B$547</f>
        <v>Faksas:</v>
      </c>
      <c r="F108" s="1434"/>
      <c r="G108" s="1434"/>
      <c r="H108" s="1435"/>
      <c r="I108" s="1437"/>
      <c r="J108" s="1437"/>
      <c r="K108" s="1437"/>
      <c r="L108" s="1437"/>
      <c r="M108" s="1437"/>
      <c r="N108" s="1437"/>
      <c r="O108" s="736"/>
      <c r="Q108" s="1098"/>
    </row>
    <row r="109" spans="1:17" s="59" customFormat="1">
      <c r="A109" s="765"/>
      <c r="B109" s="791"/>
      <c r="C109" s="727"/>
      <c r="D109" s="166"/>
      <c r="E109" s="206"/>
      <c r="F109" s="206"/>
      <c r="G109" s="206"/>
      <c r="H109" s="206"/>
      <c r="I109" s="206"/>
      <c r="J109" s="206"/>
      <c r="K109" s="206"/>
      <c r="L109" s="206"/>
      <c r="M109" s="206"/>
      <c r="N109" s="206"/>
      <c r="O109" s="734"/>
      <c r="Q109" s="1096"/>
    </row>
    <row r="110" spans="1:17" ht="15.75">
      <c r="A110" s="765"/>
      <c r="B110" s="793"/>
      <c r="C110" s="717">
        <v>5</v>
      </c>
      <c r="D110" s="1411" t="str">
        <f>Translations!$B$565</f>
        <v>Vertintojo kontaktiniai duomenys</v>
      </c>
      <c r="E110" s="1411"/>
      <c r="F110" s="1411"/>
      <c r="G110" s="1411"/>
      <c r="H110" s="1411"/>
      <c r="I110" s="1411"/>
      <c r="J110" s="1411"/>
      <c r="K110" s="1411"/>
      <c r="L110" s="1411"/>
      <c r="M110" s="1411"/>
      <c r="N110" s="1411"/>
      <c r="O110" s="736"/>
    </row>
    <row r="111" spans="1:17" s="7" customFormat="1" ht="12.75" customHeight="1">
      <c r="A111" s="770"/>
      <c r="B111" s="1447"/>
      <c r="C111" s="727"/>
      <c r="D111" s="166"/>
      <c r="E111" s="5"/>
      <c r="F111" s="5"/>
      <c r="G111" s="5"/>
      <c r="H111" s="5"/>
      <c r="I111" s="5"/>
      <c r="J111" s="5"/>
      <c r="K111" s="5"/>
      <c r="L111" s="5"/>
      <c r="M111" s="344"/>
      <c r="N111" s="344"/>
      <c r="O111" s="732"/>
      <c r="Q111" s="1098"/>
    </row>
    <row r="112" spans="1:17" s="7" customFormat="1" ht="12.75" customHeight="1">
      <c r="A112" s="770"/>
      <c r="B112" s="1447"/>
      <c r="C112" s="721"/>
      <c r="D112" s="507" t="s">
        <v>1</v>
      </c>
      <c r="E112" s="1451" t="str">
        <f>Translations!$B$566</f>
        <v>Vertintojo vardas, pavardė ir adresas:</v>
      </c>
      <c r="F112" s="1451"/>
      <c r="G112" s="1451"/>
      <c r="H112" s="1451"/>
      <c r="I112" s="1451"/>
      <c r="J112" s="1451"/>
      <c r="K112" s="1451"/>
      <c r="L112" s="1451"/>
      <c r="M112" s="1451"/>
      <c r="N112" s="1451"/>
      <c r="O112" s="736"/>
      <c r="Q112" s="1098"/>
    </row>
    <row r="113" spans="1:17" s="7" customFormat="1" ht="12.75" customHeight="1">
      <c r="A113" s="770"/>
      <c r="B113" s="1447"/>
      <c r="C113" s="721"/>
      <c r="D113" s="615" t="s">
        <v>4</v>
      </c>
      <c r="E113" s="1412" t="str">
        <f>Translations!$B$567</f>
        <v>Įmonės pavadinimas:</v>
      </c>
      <c r="F113" s="1412"/>
      <c r="G113" s="1412"/>
      <c r="H113" s="1413"/>
      <c r="I113" s="1414" t="s">
        <v>1806</v>
      </c>
      <c r="J113" s="1415"/>
      <c r="K113" s="1415"/>
      <c r="L113" s="1415"/>
      <c r="M113" s="1415"/>
      <c r="N113" s="1416"/>
      <c r="O113" s="736"/>
      <c r="Q113" s="1098"/>
    </row>
    <row r="114" spans="1:17" s="7" customFormat="1" ht="12.75" customHeight="1">
      <c r="A114" s="770"/>
      <c r="B114" s="1447"/>
      <c r="C114" s="721"/>
      <c r="D114" s="615" t="s">
        <v>5</v>
      </c>
      <c r="E114" s="1412" t="str">
        <f>Translations!$B$542</f>
        <v>Gatvė, numeris:</v>
      </c>
      <c r="F114" s="1412"/>
      <c r="G114" s="1412"/>
      <c r="H114" s="1413"/>
      <c r="I114" s="1420" t="s">
        <v>1807</v>
      </c>
      <c r="J114" s="1421"/>
      <c r="K114" s="1421"/>
      <c r="L114" s="1421"/>
      <c r="M114" s="1421"/>
      <c r="N114" s="1421"/>
      <c r="O114" s="746"/>
      <c r="Q114" s="1098"/>
    </row>
    <row r="115" spans="1:17" s="7" customFormat="1" ht="12.75" customHeight="1">
      <c r="A115" s="770"/>
      <c r="B115" s="1447"/>
      <c r="C115" s="721"/>
      <c r="D115" s="615" t="s">
        <v>196</v>
      </c>
      <c r="E115" s="1412" t="str">
        <f>Translations!$B$86</f>
        <v>Miestas:</v>
      </c>
      <c r="F115" s="1412"/>
      <c r="G115" s="1412"/>
      <c r="H115" s="1413"/>
      <c r="I115" s="1380" t="s">
        <v>1808</v>
      </c>
      <c r="J115" s="1381"/>
      <c r="K115" s="1381"/>
      <c r="L115" s="1381"/>
      <c r="M115" s="1381"/>
      <c r="N115" s="1382"/>
      <c r="O115" s="736"/>
      <c r="Q115" s="1098"/>
    </row>
    <row r="116" spans="1:17" s="7" customFormat="1" ht="12.75" customHeight="1">
      <c r="A116" s="770"/>
      <c r="B116" s="1447"/>
      <c r="C116" s="721"/>
      <c r="D116" s="615" t="s">
        <v>197</v>
      </c>
      <c r="E116" s="1412" t="str">
        <f>Translations!$B$543</f>
        <v>Pašto kodas:</v>
      </c>
      <c r="F116" s="1412"/>
      <c r="G116" s="1412"/>
      <c r="H116" s="1413"/>
      <c r="I116" s="1380" t="s">
        <v>1809</v>
      </c>
      <c r="J116" s="1381"/>
      <c r="K116" s="1381"/>
      <c r="L116" s="1381"/>
      <c r="M116" s="1381"/>
      <c r="N116" s="1382"/>
      <c r="O116" s="736"/>
      <c r="Q116" s="1098"/>
    </row>
    <row r="117" spans="1:17" s="7" customFormat="1" ht="12.75" customHeight="1">
      <c r="A117" s="770"/>
      <c r="B117" s="1447"/>
      <c r="C117" s="721"/>
      <c r="D117" s="615" t="s">
        <v>198</v>
      </c>
      <c r="E117" s="1393" t="str">
        <f>Translations!$B$88</f>
        <v>Šalis</v>
      </c>
      <c r="F117" s="1393"/>
      <c r="G117" s="1393"/>
      <c r="H117" s="1394"/>
      <c r="I117" s="1455" t="s">
        <v>146</v>
      </c>
      <c r="J117" s="1456"/>
      <c r="K117" s="1456"/>
      <c r="L117" s="1456"/>
      <c r="M117" s="1456"/>
      <c r="N117" s="1456"/>
      <c r="O117" s="746"/>
      <c r="Q117" s="1098"/>
    </row>
    <row r="118" spans="1:17" s="7" customFormat="1" ht="5.0999999999999996" customHeight="1">
      <c r="A118" s="770"/>
      <c r="B118" s="1447"/>
      <c r="C118" s="721"/>
      <c r="D118" s="779"/>
      <c r="E118" s="5"/>
      <c r="F118" s="5"/>
      <c r="G118" s="344"/>
      <c r="H118" s="344"/>
      <c r="I118" s="5"/>
      <c r="J118" s="345"/>
      <c r="K118" s="5"/>
      <c r="L118" s="5"/>
      <c r="M118" s="344"/>
      <c r="N118" s="344"/>
      <c r="O118" s="732"/>
      <c r="Q118" s="1098"/>
    </row>
    <row r="119" spans="1:17" s="7" customFormat="1" ht="12.75" customHeight="1">
      <c r="A119" s="770"/>
      <c r="B119" s="1447"/>
      <c r="C119" s="721"/>
      <c r="D119" s="507" t="s">
        <v>2</v>
      </c>
      <c r="E119" s="1451" t="str">
        <f>Translations!$B$568</f>
        <v>Vertintojo kontaktinis asmuo:</v>
      </c>
      <c r="F119" s="1451"/>
      <c r="G119" s="1451"/>
      <c r="H119" s="1451"/>
      <c r="I119" s="1451"/>
      <c r="J119" s="1451"/>
      <c r="K119" s="1451"/>
      <c r="L119" s="1451"/>
      <c r="M119" s="1451"/>
      <c r="N119" s="1451"/>
      <c r="O119" s="736"/>
      <c r="Q119" s="1098"/>
    </row>
    <row r="120" spans="1:17" s="7" customFormat="1" ht="12.75" customHeight="1">
      <c r="A120" s="770"/>
      <c r="B120" s="1447"/>
      <c r="C120" s="721"/>
      <c r="D120" s="780"/>
      <c r="E120" s="1378" t="str">
        <f>Translations!$B$569</f>
        <v>Paskirtasis asmuo turėtų būti susipažinęs su šia ataskaita. Šis asmuo turi būti ES ATLPS vyriausiasis auditorius.</v>
      </c>
      <c r="F120" s="1378"/>
      <c r="G120" s="1378"/>
      <c r="H120" s="1378"/>
      <c r="I120" s="1378"/>
      <c r="J120" s="1378"/>
      <c r="K120" s="1378"/>
      <c r="L120" s="1378"/>
      <c r="M120" s="1378"/>
      <c r="N120" s="1378"/>
      <c r="O120" s="736"/>
      <c r="Q120" s="1098"/>
    </row>
    <row r="121" spans="1:17" s="7" customFormat="1" ht="12.75" customHeight="1">
      <c r="A121" s="770"/>
      <c r="B121" s="1447"/>
      <c r="C121" s="721"/>
      <c r="D121" s="615" t="s">
        <v>4</v>
      </c>
      <c r="E121" s="1412" t="str">
        <f>Translations!$B$570</f>
        <v>Vardas ir pavardė:</v>
      </c>
      <c r="F121" s="1412"/>
      <c r="G121" s="1412"/>
      <c r="H121" s="1413"/>
      <c r="I121" s="1414" t="s">
        <v>1810</v>
      </c>
      <c r="J121" s="1415"/>
      <c r="K121" s="1415"/>
      <c r="L121" s="1415"/>
      <c r="M121" s="1415"/>
      <c r="N121" s="1415"/>
      <c r="O121" s="746"/>
      <c r="Q121" s="1098"/>
    </row>
    <row r="122" spans="1:17" s="7" customFormat="1" ht="12.75" customHeight="1">
      <c r="A122" s="770"/>
      <c r="B122" s="1447"/>
      <c r="C122" s="721"/>
      <c r="D122" s="615" t="s">
        <v>5</v>
      </c>
      <c r="E122" s="1412" t="str">
        <f>Translations!$B$95</f>
        <v>El. paštas</v>
      </c>
      <c r="F122" s="1412"/>
      <c r="G122" s="1412"/>
      <c r="H122" s="1413"/>
      <c r="I122" s="1420" t="s">
        <v>1811</v>
      </c>
      <c r="J122" s="1421"/>
      <c r="K122" s="1421"/>
      <c r="L122" s="1421"/>
      <c r="M122" s="1421"/>
      <c r="N122" s="1421"/>
      <c r="O122" s="746"/>
      <c r="Q122" s="1098"/>
    </row>
    <row r="123" spans="1:17" s="7" customFormat="1" ht="12.75" customHeight="1">
      <c r="A123" s="770"/>
      <c r="B123" s="1447"/>
      <c r="C123" s="721"/>
      <c r="D123" s="615" t="s">
        <v>196</v>
      </c>
      <c r="E123" s="1412" t="str">
        <f>Translations!$B$94</f>
        <v>Telefono numeris</v>
      </c>
      <c r="F123" s="1412"/>
      <c r="G123" s="1412"/>
      <c r="H123" s="1413"/>
      <c r="I123" s="1452" t="s">
        <v>1812</v>
      </c>
      <c r="J123" s="1453"/>
      <c r="K123" s="1453"/>
      <c r="L123" s="1453"/>
      <c r="M123" s="1453"/>
      <c r="N123" s="1453"/>
      <c r="O123" s="746"/>
      <c r="Q123" s="1098"/>
    </row>
    <row r="124" spans="1:17" s="7" customFormat="1" ht="12.75" customHeight="1">
      <c r="A124" s="770"/>
      <c r="B124" s="1447"/>
      <c r="C124" s="721"/>
      <c r="D124" s="615" t="s">
        <v>197</v>
      </c>
      <c r="E124" s="1393" t="str">
        <f>Translations!$B$547</f>
        <v>Faksas:</v>
      </c>
      <c r="F124" s="1393"/>
      <c r="G124" s="1393"/>
      <c r="H124" s="1394"/>
      <c r="I124" s="1448" t="s">
        <v>1813</v>
      </c>
      <c r="J124" s="1449"/>
      <c r="K124" s="1449"/>
      <c r="L124" s="1449"/>
      <c r="M124" s="1449"/>
      <c r="N124" s="1450"/>
      <c r="O124" s="736"/>
      <c r="Q124" s="1098"/>
    </row>
    <row r="125" spans="1:17" s="7" customFormat="1" ht="5.0999999999999996" customHeight="1">
      <c r="A125" s="770"/>
      <c r="B125" s="1447"/>
      <c r="C125" s="721"/>
      <c r="D125" s="779"/>
      <c r="E125" s="5"/>
      <c r="F125" s="5"/>
      <c r="G125" s="5"/>
      <c r="H125" s="5"/>
      <c r="I125" s="5"/>
      <c r="J125" s="345"/>
      <c r="K125" s="5"/>
      <c r="L125" s="5"/>
      <c r="M125" s="344"/>
      <c r="N125" s="344"/>
      <c r="O125" s="732"/>
      <c r="Q125" s="1098"/>
    </row>
    <row r="126" spans="1:17" s="7" customFormat="1" ht="12.75" customHeight="1">
      <c r="A126" s="770"/>
      <c r="B126" s="1447"/>
      <c r="C126" s="721"/>
      <c r="D126" s="503" t="s">
        <v>44</v>
      </c>
      <c r="E126" s="1451" t="str">
        <f>Translations!$B$571</f>
        <v>Informacija apie vertintojo akreditavimą arba sertifikavimą:</v>
      </c>
      <c r="F126" s="1451"/>
      <c r="G126" s="1451"/>
      <c r="H126" s="1451"/>
      <c r="I126" s="1451"/>
      <c r="J126" s="1451"/>
      <c r="K126" s="1451"/>
      <c r="L126" s="1451"/>
      <c r="M126" s="1451"/>
      <c r="N126" s="1451"/>
      <c r="O126" s="736"/>
      <c r="Q126" s="1098"/>
    </row>
    <row r="127" spans="1:17" s="7" customFormat="1" ht="25.5" customHeight="1">
      <c r="A127" s="770"/>
      <c r="B127" s="1447"/>
      <c r="C127" s="721"/>
      <c r="D127" s="615"/>
      <c r="E127" s="1378"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8"/>
      <c r="G127" s="1378"/>
      <c r="H127" s="1378"/>
      <c r="I127" s="1378"/>
      <c r="J127" s="1378"/>
      <c r="K127" s="1378"/>
      <c r="L127" s="1378"/>
      <c r="M127" s="1378"/>
      <c r="N127" s="1378"/>
      <c r="O127" s="736"/>
      <c r="Q127" s="1098"/>
    </row>
    <row r="128" spans="1:17" s="7" customFormat="1" ht="12.75" customHeight="1">
      <c r="A128" s="770"/>
      <c r="B128" s="1447"/>
      <c r="C128" s="721"/>
      <c r="D128" s="615"/>
      <c r="E128" s="1378" t="str">
        <f>Translations!$B$573</f>
        <v>Tokiais atvejais akreditavimas turėtų būti suprantamas kaip sertifikavimas, o akreditavimo įstaiga turėtų būti laikoma nacionaline valdžios institucija.</v>
      </c>
      <c r="F128" s="1378"/>
      <c r="G128" s="1378"/>
      <c r="H128" s="1378"/>
      <c r="I128" s="1378"/>
      <c r="J128" s="1378"/>
      <c r="K128" s="1378"/>
      <c r="L128" s="1378"/>
      <c r="M128" s="1378"/>
      <c r="N128" s="1378"/>
      <c r="O128" s="736"/>
      <c r="Q128" s="1098"/>
    </row>
    <row r="129" spans="1:17" s="7" customFormat="1" ht="12.75" customHeight="1">
      <c r="A129" s="770"/>
      <c r="B129" s="1447"/>
      <c r="C129" s="721"/>
      <c r="D129" s="780"/>
      <c r="E129" s="1378" t="str">
        <f>Translations!$B$574</f>
        <v>Tai, ar yra tokios registravimo informacijos, gali priklausyti nuo administruojančios valstybės narės taikomos vertintojų akreditavimo tvarkos.</v>
      </c>
      <c r="F129" s="1378"/>
      <c r="G129" s="1378"/>
      <c r="H129" s="1378"/>
      <c r="I129" s="1378"/>
      <c r="J129" s="1378"/>
      <c r="K129" s="1378"/>
      <c r="L129" s="1378"/>
      <c r="M129" s="1378"/>
      <c r="N129" s="1378"/>
      <c r="O129" s="736"/>
      <c r="Q129" s="1098"/>
    </row>
    <row r="130" spans="1:17" s="7" customFormat="1" ht="12.75" customHeight="1">
      <c r="A130" s="770"/>
      <c r="B130" s="1447"/>
      <c r="C130" s="721"/>
      <c r="D130" s="615" t="s">
        <v>4</v>
      </c>
      <c r="E130" s="1412" t="str">
        <f>Translations!$B$575</f>
        <v>Akreditacijos valstybė narė:</v>
      </c>
      <c r="F130" s="1412"/>
      <c r="G130" s="1412"/>
      <c r="H130" s="1413"/>
      <c r="I130" s="1414" t="s">
        <v>146</v>
      </c>
      <c r="J130" s="1415"/>
      <c r="K130" s="1415"/>
      <c r="L130" s="1415"/>
      <c r="M130" s="1415"/>
      <c r="N130" s="1416"/>
      <c r="O130" s="736"/>
      <c r="Q130" s="1098"/>
    </row>
    <row r="131" spans="1:17" s="7" customFormat="1" ht="12.75" customHeight="1">
      <c r="A131" s="770"/>
      <c r="B131" s="1447"/>
      <c r="C131" s="721"/>
      <c r="D131" s="615" t="s">
        <v>5</v>
      </c>
      <c r="E131" s="1393" t="str">
        <f>Translations!$B$576</f>
        <v>Akreditacijos įstaigos suteiktas registracijos numeris:</v>
      </c>
      <c r="F131" s="1393"/>
      <c r="G131" s="1393"/>
      <c r="H131" s="1394"/>
      <c r="I131" s="1455" t="s">
        <v>1814</v>
      </c>
      <c r="J131" s="1456"/>
      <c r="K131" s="1456"/>
      <c r="L131" s="1456"/>
      <c r="M131" s="1456"/>
      <c r="N131" s="1457"/>
      <c r="O131" s="736"/>
      <c r="Q131" s="1098"/>
    </row>
    <row r="132" spans="1:17" s="59" customFormat="1" ht="12.75" customHeight="1" thickBot="1">
      <c r="A132" s="781"/>
      <c r="B132" s="793"/>
      <c r="C132" s="720"/>
      <c r="D132" s="500"/>
      <c r="E132" s="38"/>
      <c r="F132" s="36"/>
      <c r="G132" s="39"/>
      <c r="H132" s="39"/>
      <c r="I132" s="39"/>
      <c r="J132" s="39"/>
      <c r="K132" s="39"/>
      <c r="L132" s="39"/>
      <c r="M132" s="39"/>
      <c r="N132" s="39"/>
      <c r="O132" s="736"/>
      <c r="Q132" s="1096"/>
    </row>
    <row r="133" spans="1:17">
      <c r="A133" s="765"/>
      <c r="B133" s="793"/>
      <c r="C133" s="727"/>
      <c r="D133" s="769"/>
      <c r="E133" s="206"/>
      <c r="F133" s="206"/>
      <c r="G133" s="206"/>
      <c r="H133" s="206"/>
      <c r="I133" s="206"/>
      <c r="J133" s="206"/>
      <c r="K133" s="206"/>
      <c r="L133" s="206"/>
      <c r="M133" s="206"/>
      <c r="N133" s="206"/>
      <c r="O133" s="736"/>
    </row>
    <row r="134" spans="1:17" ht="15" customHeight="1">
      <c r="A134" s="765"/>
      <c r="B134" s="793"/>
      <c r="C134" s="727"/>
      <c r="D134" s="769"/>
      <c r="E134" s="206"/>
      <c r="F134" s="1365" t="str">
        <f>EUconst_MsgNextSheet</f>
        <v xml:space="preserve">&lt;&lt;&lt; Į kitą lapą pereisite paspaudę čia &gt;&gt;&gt; </v>
      </c>
      <c r="G134" s="1365"/>
      <c r="H134" s="1365"/>
      <c r="I134" s="1365"/>
      <c r="J134" s="1365"/>
      <c r="K134" s="1365"/>
      <c r="L134" s="1365"/>
      <c r="M134" s="206"/>
      <c r="N134" s="206"/>
      <c r="O134" s="736"/>
    </row>
    <row r="135" spans="1:17" ht="13.5" thickBot="1">
      <c r="A135" s="782"/>
      <c r="B135" s="1056"/>
      <c r="C135" s="784"/>
      <c r="D135" s="785"/>
      <c r="E135" s="783"/>
      <c r="F135" s="783"/>
      <c r="G135" s="783"/>
      <c r="H135" s="783"/>
      <c r="I135" s="783"/>
      <c r="J135" s="783"/>
      <c r="K135" s="783"/>
      <c r="L135" s="783"/>
      <c r="M135" s="783"/>
      <c r="N135" s="783"/>
      <c r="O135" s="786"/>
    </row>
  </sheetData>
  <sheetProtection sheet="1" objects="1" scenarios="1" formatCells="0" formatColumns="0" formatRows="0"/>
  <mergeCells count="162">
    <mergeCell ref="I82:N82"/>
    <mergeCell ref="E75:H75"/>
    <mergeCell ref="E92:H92"/>
    <mergeCell ref="E79:N79"/>
    <mergeCell ref="E71:H71"/>
    <mergeCell ref="E31:H31"/>
    <mergeCell ref="I33:N33"/>
    <mergeCell ref="I32:N32"/>
    <mergeCell ref="I50:N50"/>
    <mergeCell ref="E63:H63"/>
    <mergeCell ref="E34:H34"/>
    <mergeCell ref="I34:N34"/>
    <mergeCell ref="I49:N49"/>
    <mergeCell ref="E77:N77"/>
    <mergeCell ref="I65:N65"/>
    <mergeCell ref="I67:N67"/>
    <mergeCell ref="I68:N68"/>
    <mergeCell ref="I69:N69"/>
    <mergeCell ref="D37:N37"/>
    <mergeCell ref="E66:H66"/>
    <mergeCell ref="E43:H43"/>
    <mergeCell ref="I45:N45"/>
    <mergeCell ref="E39:N39"/>
    <mergeCell ref="I63:N63"/>
    <mergeCell ref="E49:H49"/>
    <mergeCell ref="E61:H61"/>
    <mergeCell ref="E65:H65"/>
    <mergeCell ref="I56:L56"/>
    <mergeCell ref="E56:H5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26:N126"/>
    <mergeCell ref="E96:H96"/>
    <mergeCell ref="E101:H101"/>
    <mergeCell ref="E104:H104"/>
    <mergeCell ref="E120:N120"/>
    <mergeCell ref="I116:N116"/>
    <mergeCell ref="E130:H130"/>
    <mergeCell ref="I122:N122"/>
    <mergeCell ref="I80:N80"/>
    <mergeCell ref="I101:N101"/>
    <mergeCell ref="I102:N102"/>
    <mergeCell ref="E113:H113"/>
    <mergeCell ref="I107:N107"/>
    <mergeCell ref="E108:H108"/>
    <mergeCell ref="D110:N110"/>
    <mergeCell ref="I108:N108"/>
    <mergeCell ref="I130:N130"/>
    <mergeCell ref="E123:H123"/>
    <mergeCell ref="E128:N128"/>
    <mergeCell ref="E90:N90"/>
    <mergeCell ref="E100:N100"/>
    <mergeCell ref="E97:H97"/>
    <mergeCell ref="I103:N103"/>
    <mergeCell ref="I95:N95"/>
    <mergeCell ref="I117:N117"/>
    <mergeCell ref="I93:N93"/>
    <mergeCell ref="I83:N83"/>
    <mergeCell ref="I81:N81"/>
    <mergeCell ref="I97:N97"/>
    <mergeCell ref="E107:H107"/>
    <mergeCell ref="E88:N88"/>
    <mergeCell ref="I92:N92"/>
    <mergeCell ref="I96:N96"/>
    <mergeCell ref="I91:N91"/>
    <mergeCell ref="E22:H22"/>
    <mergeCell ref="I84:N84"/>
    <mergeCell ref="E98:H98"/>
    <mergeCell ref="I94:N94"/>
    <mergeCell ref="E91:H91"/>
    <mergeCell ref="E103:H103"/>
    <mergeCell ref="I104:N104"/>
    <mergeCell ref="E106:H106"/>
    <mergeCell ref="D86:N86"/>
    <mergeCell ref="I98:N98"/>
    <mergeCell ref="E73:H73"/>
    <mergeCell ref="I73:N73"/>
    <mergeCell ref="I71:N71"/>
    <mergeCell ref="E54:H54"/>
    <mergeCell ref="E57:N57"/>
    <mergeCell ref="I66:N66"/>
    <mergeCell ref="E29:H29"/>
    <mergeCell ref="I54:N54"/>
    <mergeCell ref="E53:H53"/>
    <mergeCell ref="E26:H26"/>
    <mergeCell ref="E27:H27"/>
    <mergeCell ref="E28:H28"/>
    <mergeCell ref="E32:H32"/>
    <mergeCell ref="E33:H33"/>
    <mergeCell ref="E45:H45"/>
    <mergeCell ref="I43:N43"/>
    <mergeCell ref="E51:H51"/>
    <mergeCell ref="E50:H50"/>
    <mergeCell ref="I53:N53"/>
    <mergeCell ref="E52:H52"/>
    <mergeCell ref="I51:N51"/>
    <mergeCell ref="I52:N52"/>
    <mergeCell ref="I26:N26"/>
    <mergeCell ref="I27:N27"/>
    <mergeCell ref="I29:N29"/>
    <mergeCell ref="E44:H44"/>
    <mergeCell ref="I30:N30"/>
    <mergeCell ref="I31:N31"/>
    <mergeCell ref="I28:N28"/>
    <mergeCell ref="I44:N44"/>
    <mergeCell ref="E47:J47"/>
    <mergeCell ref="E30:H30"/>
    <mergeCell ref="M4:N4"/>
    <mergeCell ref="I18:N18"/>
    <mergeCell ref="D12:N12"/>
    <mergeCell ref="C6:N6"/>
    <mergeCell ref="I22:J22"/>
    <mergeCell ref="E20:H20"/>
    <mergeCell ref="D13:N13"/>
    <mergeCell ref="D14:N14"/>
    <mergeCell ref="I20:N20"/>
    <mergeCell ref="B2:D4"/>
    <mergeCell ref="D9:H9"/>
    <mergeCell ref="D16:N16"/>
    <mergeCell ref="K22:N22"/>
    <mergeCell ref="G2:H2"/>
    <mergeCell ref="K2:L2"/>
    <mergeCell ref="F134:L134"/>
    <mergeCell ref="G4:H4"/>
    <mergeCell ref="E127:N127"/>
    <mergeCell ref="E129:N129"/>
    <mergeCell ref="E25:N25"/>
    <mergeCell ref="E4:F4"/>
    <mergeCell ref="I4:J4"/>
    <mergeCell ref="I115:N115"/>
    <mergeCell ref="E78:N78"/>
    <mergeCell ref="E59:J59"/>
    <mergeCell ref="I2:J2"/>
    <mergeCell ref="K4:L4"/>
    <mergeCell ref="M3:N3"/>
    <mergeCell ref="E2:F2"/>
    <mergeCell ref="I3:J3"/>
    <mergeCell ref="E3:F3"/>
    <mergeCell ref="M2:N2"/>
    <mergeCell ref="G3:H3"/>
    <mergeCell ref="K3:L3"/>
    <mergeCell ref="E24:N24"/>
    <mergeCell ref="J9:K9"/>
    <mergeCell ref="E18:H18"/>
  </mergeCells>
  <phoneticPr fontId="37" type="noConversion"/>
  <conditionalFormatting sqref="I63:N63 I65:N69">
    <cfRule type="expression" dxfId="1828" priority="1" stopIfTrue="1">
      <formula>$Q63=TRUE</formula>
    </cfRule>
  </conditionalFormatting>
  <dataValidations disablePrompts="1"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verticalDpi="300"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sheetPr codeName="Tabelle5">
    <tabColor indexed="42"/>
    <pageSetUpPr fitToPage="1"/>
  </sheetPr>
  <dimension ref="A1:AB224"/>
  <sheetViews>
    <sheetView zoomScaleNormal="100" workbookViewId="0">
      <pane ySplit="4" topLeftCell="A69" activePane="bottomLeft" state="frozen"/>
      <selection activeCell="B2" sqref="B2"/>
      <selection pane="bottomLeft" activeCell="AG32" sqref="AG32"/>
    </sheetView>
  </sheetViews>
  <sheetFormatPr defaultColWidth="11.42578125" defaultRowHeight="12.75"/>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59" customFormat="1" ht="13.5" hidden="1" thickBot="1">
      <c r="A1" s="45" t="s">
        <v>87</v>
      </c>
      <c r="B1" s="787"/>
      <c r="C1" s="760"/>
      <c r="D1" s="788"/>
      <c r="E1" s="759"/>
      <c r="F1" s="759"/>
      <c r="G1" s="762"/>
      <c r="H1" s="762"/>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c r="A2" s="47"/>
      <c r="B2" s="1404" t="str">
        <f>Translations!$B$577</f>
        <v>B.
Installation Description (Įrenginio aprašas)</v>
      </c>
      <c r="C2" s="1405"/>
      <c r="D2" s="1406"/>
      <c r="E2" s="1386" t="str">
        <f>Translations!$B$23</f>
        <v>Naršymo laukas</v>
      </c>
      <c r="F2" s="1364"/>
      <c r="G2" s="1366" t="str">
        <f>Translations!$B$24</f>
        <v>Turinys</v>
      </c>
      <c r="H2" s="1367"/>
      <c r="I2" s="1366" t="str">
        <f>Translations!$B$25</f>
        <v>Ankstesnis lapas</v>
      </c>
      <c r="J2" s="1367"/>
      <c r="K2" s="1366" t="str">
        <f>Translations!$B$26</f>
        <v>Kitas lapas</v>
      </c>
      <c r="L2" s="1367"/>
      <c r="M2" s="1366"/>
      <c r="N2" s="1367"/>
      <c r="O2" s="732"/>
      <c r="P2" s="45"/>
      <c r="Q2" s="45"/>
      <c r="R2" s="45"/>
      <c r="S2" s="45"/>
      <c r="T2" s="45"/>
      <c r="U2" s="45"/>
      <c r="V2" s="45"/>
      <c r="W2" s="45"/>
      <c r="X2" s="45"/>
      <c r="Y2" s="45"/>
      <c r="Z2" s="45"/>
      <c r="AA2" s="45"/>
      <c r="AB2" s="45"/>
    </row>
    <row r="3" spans="1:28" s="59" customFormat="1">
      <c r="A3" s="47"/>
      <c r="B3" s="1407"/>
      <c r="C3" s="1408"/>
      <c r="D3" s="1409"/>
      <c r="E3" s="1359" t="str">
        <f>Translations!$B$27</f>
        <v>Lapo viršus</v>
      </c>
      <c r="F3" s="1359"/>
      <c r="G3" s="1359" t="str">
        <f>Translations!$B$578</f>
        <v>Veiklos sritys</v>
      </c>
      <c r="H3" s="1359"/>
      <c r="I3" s="1359" t="str">
        <f>Translations!$B$579</f>
        <v>Stebėsenos metodas</v>
      </c>
      <c r="J3" s="1359"/>
      <c r="K3" s="1359" t="str">
        <f>Translations!$B$580</f>
        <v>Sukėlikliai</v>
      </c>
      <c r="L3" s="1359"/>
      <c r="M3" s="1359"/>
      <c r="N3" s="1359"/>
      <c r="O3" s="732"/>
      <c r="P3" s="45"/>
      <c r="Q3" s="45"/>
      <c r="R3" s="45"/>
      <c r="S3" s="45"/>
      <c r="T3" s="45"/>
      <c r="U3" s="45"/>
      <c r="V3" s="45"/>
      <c r="W3" s="45"/>
      <c r="X3" s="45"/>
      <c r="Y3" s="45"/>
      <c r="Z3" s="45"/>
      <c r="AA3" s="45"/>
      <c r="AB3" s="45"/>
    </row>
    <row r="4" spans="1:28" s="59" customFormat="1" ht="13.5" customHeight="1" thickBot="1">
      <c r="A4" s="47"/>
      <c r="B4" s="1508"/>
      <c r="C4" s="1509"/>
      <c r="D4" s="1510"/>
      <c r="E4" s="1359" t="str">
        <f>Translations!$B$28</f>
        <v>Lapo galas</v>
      </c>
      <c r="F4" s="1359"/>
      <c r="G4" s="1359" t="str">
        <f>Translations!$B$97</f>
        <v>Matavimo taškai</v>
      </c>
      <c r="H4" s="1359"/>
      <c r="I4" s="1359"/>
      <c r="J4" s="1359"/>
      <c r="K4" s="1359"/>
      <c r="L4" s="1359"/>
      <c r="M4" s="1359"/>
      <c r="N4" s="1359"/>
      <c r="O4" s="732"/>
      <c r="P4" s="45"/>
      <c r="Q4" s="45"/>
      <c r="R4" s="45"/>
      <c r="S4" s="45"/>
      <c r="T4" s="45"/>
      <c r="U4" s="45"/>
      <c r="V4" s="45"/>
      <c r="W4" s="45"/>
      <c r="X4" s="45"/>
      <c r="Y4" s="45"/>
      <c r="Z4" s="45"/>
      <c r="AA4" s="45"/>
      <c r="AB4" s="45"/>
    </row>
    <row r="5" spans="1:28" s="59" customFormat="1" ht="12.75" customHeight="1">
      <c r="A5" s="45"/>
      <c r="B5" s="789"/>
      <c r="C5" s="719"/>
      <c r="D5" s="727"/>
      <c r="E5" s="5"/>
      <c r="F5" s="6"/>
      <c r="G5" s="6"/>
      <c r="H5" s="6"/>
      <c r="I5" s="5"/>
      <c r="J5" s="5"/>
      <c r="K5" s="5"/>
      <c r="L5" s="5"/>
      <c r="M5" s="344"/>
      <c r="N5" s="344"/>
      <c r="O5" s="732"/>
      <c r="P5" s="45"/>
      <c r="Q5" s="45"/>
      <c r="R5" s="45"/>
      <c r="S5" s="45"/>
      <c r="T5" s="45"/>
      <c r="U5" s="45"/>
      <c r="V5" s="45"/>
      <c r="W5" s="45"/>
      <c r="X5" s="45"/>
      <c r="Y5" s="45"/>
      <c r="Z5" s="45"/>
      <c r="AA5" s="45"/>
      <c r="AB5" s="45"/>
    </row>
    <row r="6" spans="1:28" s="28" customFormat="1" ht="25.5" customHeight="1">
      <c r="A6" s="170"/>
      <c r="B6" s="790"/>
      <c r="C6" s="1398" t="str">
        <f>Translations!$B$496</f>
        <v>B. Įrenginio aprašas</v>
      </c>
      <c r="D6" s="1398"/>
      <c r="E6" s="1398"/>
      <c r="F6" s="1398"/>
      <c r="G6" s="1398"/>
      <c r="H6" s="1398"/>
      <c r="I6" s="1398"/>
      <c r="J6" s="1398"/>
      <c r="K6" s="1398"/>
      <c r="L6" s="1398"/>
      <c r="M6" s="1398"/>
      <c r="N6" s="1398"/>
      <c r="O6" s="744"/>
      <c r="P6" s="45"/>
      <c r="Q6" s="45"/>
      <c r="R6" s="45"/>
      <c r="S6" s="45"/>
      <c r="T6" s="45"/>
      <c r="U6" s="45"/>
      <c r="V6" s="45"/>
      <c r="W6" s="45"/>
      <c r="X6" s="45"/>
      <c r="Y6" s="45"/>
      <c r="Z6" s="45"/>
      <c r="AA6" s="45"/>
      <c r="AB6" s="45"/>
    </row>
    <row r="7" spans="1:28" s="28" customFormat="1" ht="12.75" customHeight="1">
      <c r="A7" s="170"/>
      <c r="B7" s="790"/>
      <c r="C7" s="768"/>
      <c r="D7" s="767"/>
      <c r="E7" s="767"/>
      <c r="F7" s="767"/>
      <c r="G7" s="767"/>
      <c r="H7" s="767"/>
      <c r="I7" s="767"/>
      <c r="J7" s="767"/>
      <c r="K7" s="767"/>
      <c r="L7" s="767"/>
      <c r="M7" s="767"/>
      <c r="N7" s="767"/>
      <c r="O7" s="744"/>
      <c r="P7" s="45"/>
      <c r="Q7" s="45"/>
      <c r="R7" s="45"/>
      <c r="S7" s="45"/>
      <c r="T7" s="45"/>
      <c r="U7" s="45"/>
      <c r="V7" s="45"/>
      <c r="W7" s="45"/>
      <c r="X7" s="45"/>
      <c r="Y7" s="45"/>
      <c r="Z7" s="45"/>
      <c r="AA7" s="45"/>
      <c r="AB7" s="45"/>
    </row>
    <row r="8" spans="1:28" s="28" customFormat="1" ht="18.75" customHeight="1">
      <c r="A8" s="170"/>
      <c r="B8" s="790"/>
      <c r="C8" s="717">
        <v>6</v>
      </c>
      <c r="D8" s="1512" t="str">
        <f>Translations!$B$581</f>
        <v>Veiklos sritys pagal ES ATLPS direktyvos I priedą</v>
      </c>
      <c r="E8" s="1512"/>
      <c r="F8" s="1512"/>
      <c r="G8" s="1512"/>
      <c r="H8" s="1512"/>
      <c r="I8" s="1512"/>
      <c r="J8" s="1512"/>
      <c r="K8" s="1512"/>
      <c r="L8" s="1512"/>
      <c r="M8" s="1512"/>
      <c r="N8" s="1512"/>
      <c r="O8" s="744"/>
      <c r="P8" s="45"/>
      <c r="Q8" s="45"/>
      <c r="R8" s="45"/>
      <c r="S8" s="45"/>
      <c r="T8" s="45"/>
      <c r="U8" s="45"/>
      <c r="V8" s="45"/>
      <c r="W8" s="45"/>
      <c r="X8" s="45"/>
      <c r="Y8" s="45"/>
      <c r="Z8" s="45"/>
      <c r="AA8" s="45"/>
      <c r="AB8" s="45"/>
    </row>
    <row r="9" spans="1:28" s="28" customFormat="1" ht="5.0999999999999996" customHeight="1">
      <c r="A9" s="170"/>
      <c r="B9" s="790"/>
      <c r="C9" s="166"/>
      <c r="D9" s="206"/>
      <c r="E9" s="206"/>
      <c r="F9" s="206"/>
      <c r="G9" s="206"/>
      <c r="H9" s="206"/>
      <c r="I9" s="206"/>
      <c r="J9" s="206"/>
      <c r="K9" s="206"/>
      <c r="L9" s="206"/>
      <c r="M9" s="206"/>
      <c r="N9" s="206"/>
      <c r="O9" s="744"/>
      <c r="P9" s="45"/>
      <c r="Q9" s="45"/>
      <c r="R9" s="45"/>
      <c r="S9" s="45"/>
      <c r="T9" s="45"/>
      <c r="U9" s="45"/>
      <c r="V9" s="45"/>
      <c r="W9" s="45"/>
      <c r="X9" s="45"/>
      <c r="Y9" s="45"/>
      <c r="Z9" s="45"/>
      <c r="AA9" s="45"/>
      <c r="AB9" s="45"/>
    </row>
    <row r="10" spans="1:28" s="59" customFormat="1" ht="12.75" customHeight="1">
      <c r="A10" s="45"/>
      <c r="B10" s="791"/>
      <c r="C10" s="727"/>
      <c r="D10" s="166"/>
      <c r="E10" s="1494" t="str">
        <f>Translations!$B$99</f>
        <v>Apie kiekvieną jūsų įrenginyje vykdomą į ES ATLPS direktyvos I priedą įtrauktą veiklos rūšį pateikite šias technines detales.</v>
      </c>
      <c r="F10" s="1494"/>
      <c r="G10" s="1494"/>
      <c r="H10" s="1494"/>
      <c r="I10" s="1494"/>
      <c r="J10" s="1494"/>
      <c r="K10" s="1494"/>
      <c r="L10" s="1494"/>
      <c r="M10" s="1494"/>
      <c r="N10" s="1494"/>
      <c r="O10" s="734"/>
      <c r="P10" s="45"/>
      <c r="Q10" s="45"/>
      <c r="R10" s="45"/>
      <c r="S10" s="45"/>
      <c r="T10" s="45"/>
      <c r="U10" s="45"/>
      <c r="V10" s="45"/>
      <c r="W10" s="45"/>
      <c r="X10" s="45"/>
      <c r="Y10" s="45"/>
      <c r="Z10" s="45"/>
      <c r="AA10" s="45"/>
      <c r="AB10" s="45"/>
    </row>
    <row r="11" spans="1:28" s="59" customFormat="1" ht="15" customHeight="1">
      <c r="A11" s="45"/>
      <c r="B11" s="791"/>
      <c r="C11" s="727"/>
      <c r="D11" s="166"/>
      <c r="E11" s="1494" t="str">
        <f>Translations!$B$100</f>
        <v>Taip pat nurodykite kiekvienos jūsų įrenginyje vykdomos į I priedą įtrauktos veiklos pajėgumą.</v>
      </c>
      <c r="F11" s="1494"/>
      <c r="G11" s="1494"/>
      <c r="H11" s="1494"/>
      <c r="I11" s="1494"/>
      <c r="J11" s="1494"/>
      <c r="K11" s="1494"/>
      <c r="L11" s="1494"/>
      <c r="M11" s="1494"/>
      <c r="N11" s="1494"/>
      <c r="O11" s="734"/>
      <c r="P11" s="45"/>
      <c r="Q11" s="45"/>
      <c r="R11" s="45"/>
      <c r="S11" s="45"/>
      <c r="T11" s="45"/>
      <c r="U11" s="45"/>
      <c r="V11" s="45"/>
      <c r="W11" s="45"/>
      <c r="X11" s="45"/>
      <c r="Y11" s="45"/>
      <c r="Z11" s="45"/>
      <c r="AA11" s="45"/>
      <c r="AB11" s="45"/>
    </row>
    <row r="12" spans="1:28" s="59" customFormat="1" ht="12.75" customHeight="1">
      <c r="A12" s="45"/>
      <c r="B12" s="791"/>
      <c r="C12" s="727"/>
      <c r="D12" s="166"/>
      <c r="E12" s="1494" t="str">
        <f>Translations!$B$101</f>
        <v>Atkreipkite dėmesį, kad šiame kontekste „pajėgumas“ reiškia:</v>
      </c>
      <c r="F12" s="1494"/>
      <c r="G12" s="1494"/>
      <c r="H12" s="1494"/>
      <c r="I12" s="1494"/>
      <c r="J12" s="1494"/>
      <c r="K12" s="1494"/>
      <c r="L12" s="1494"/>
      <c r="M12" s="1494"/>
      <c r="N12" s="1494"/>
      <c r="O12" s="734"/>
      <c r="P12" s="45"/>
      <c r="Q12" s="45"/>
      <c r="R12" s="45"/>
      <c r="S12" s="45"/>
      <c r="T12" s="45"/>
      <c r="U12" s="45"/>
      <c r="V12" s="45"/>
      <c r="W12" s="45"/>
      <c r="X12" s="45"/>
      <c r="Y12" s="45"/>
      <c r="Z12" s="45"/>
      <c r="AA12" s="45"/>
      <c r="AB12" s="45"/>
    </row>
    <row r="13" spans="1:28" s="59" customFormat="1" ht="25.5" customHeight="1">
      <c r="A13" s="45"/>
      <c r="B13" s="791"/>
      <c r="C13" s="727"/>
      <c r="D13" s="166"/>
      <c r="E13" s="209" t="s">
        <v>261</v>
      </c>
      <c r="F13" s="1494"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4"/>
      <c r="H13" s="1494"/>
      <c r="I13" s="1494"/>
      <c r="J13" s="1494"/>
      <c r="K13" s="1494"/>
      <c r="L13" s="1494"/>
      <c r="M13" s="1494"/>
      <c r="N13" s="1494"/>
      <c r="O13" s="734"/>
      <c r="P13" s="45"/>
      <c r="Q13" s="45"/>
      <c r="R13" s="45"/>
      <c r="S13" s="45"/>
      <c r="T13" s="45"/>
      <c r="U13" s="45"/>
      <c r="V13" s="45"/>
      <c r="W13" s="45"/>
      <c r="X13" s="45"/>
      <c r="Y13" s="45"/>
      <c r="Z13" s="45"/>
      <c r="AA13" s="45"/>
      <c r="AB13" s="45"/>
    </row>
    <row r="14" spans="1:28" s="59" customFormat="1" ht="12.75" customHeight="1">
      <c r="A14" s="45"/>
      <c r="B14" s="791"/>
      <c r="C14" s="727"/>
      <c r="D14" s="166"/>
      <c r="E14" s="209" t="s">
        <v>261</v>
      </c>
      <c r="F14" s="1494" t="str">
        <f>Translations!$B$103</f>
        <v xml:space="preserve">Gamybos pajėgumas tų I priede nurodytų veiklos rūšių atveju, kai ATLPS taikymas priklauso nuo gamybos pajėgumo. </v>
      </c>
      <c r="G14" s="1494"/>
      <c r="H14" s="1494"/>
      <c r="I14" s="1494"/>
      <c r="J14" s="1494"/>
      <c r="K14" s="1494"/>
      <c r="L14" s="1494"/>
      <c r="M14" s="1494"/>
      <c r="N14" s="1494"/>
      <c r="O14" s="734"/>
      <c r="P14" s="849"/>
      <c r="Q14" s="45"/>
      <c r="R14" s="45"/>
      <c r="S14" s="45"/>
      <c r="T14" s="45"/>
      <c r="U14" s="45"/>
      <c r="V14" s="45"/>
      <c r="W14" s="45"/>
      <c r="X14" s="45"/>
      <c r="Y14" s="45"/>
      <c r="Z14" s="45"/>
      <c r="AA14" s="45"/>
      <c r="AB14" s="45"/>
    </row>
    <row r="15" spans="1:28" s="59" customFormat="1" ht="25.5" customHeight="1">
      <c r="A15" s="45"/>
      <c r="B15" s="791"/>
      <c r="C15" s="727"/>
      <c r="D15" s="166"/>
      <c r="E15" s="1494" t="str">
        <f>Translations!$B$104</f>
        <v>Įrenginio ribas prašome nurodyti  teisingai ir taip, kad jos atitiktų ES ATLPS direktyvos I priedą. Daugiau informacijos rasite Komisijos gairių dėl I priedo aiškinimo atitinkamuose skirsniuose. Tas dokumentas pateikiamas adresu</v>
      </c>
      <c r="F15" s="1494"/>
      <c r="G15" s="1494"/>
      <c r="H15" s="1494"/>
      <c r="I15" s="1494"/>
      <c r="J15" s="1494"/>
      <c r="K15" s="1494"/>
      <c r="L15" s="1494"/>
      <c r="M15" s="1494"/>
      <c r="N15" s="1494"/>
      <c r="O15" s="734"/>
      <c r="P15" s="47"/>
      <c r="Q15" s="45"/>
      <c r="R15" s="45"/>
      <c r="S15" s="45"/>
      <c r="T15" s="45"/>
      <c r="U15" s="45"/>
      <c r="V15" s="45"/>
      <c r="W15" s="45"/>
      <c r="X15" s="45"/>
      <c r="Y15" s="45"/>
      <c r="Z15" s="45"/>
      <c r="AA15" s="45"/>
      <c r="AB15" s="45"/>
    </row>
    <row r="16" spans="1:28" s="59" customFormat="1" ht="15" customHeight="1">
      <c r="A16" s="45"/>
      <c r="B16" s="791"/>
      <c r="C16" s="727"/>
      <c r="D16" s="166"/>
      <c r="E16" s="1518" t="str">
        <f>Translations!$B$105</f>
        <v xml:space="preserve">http://ec.europa.eu/clima/policies/ets/docs/guidance_interpretation_en.pdf </v>
      </c>
      <c r="F16" s="1518"/>
      <c r="G16" s="1518"/>
      <c r="H16" s="1518"/>
      <c r="I16" s="1518"/>
      <c r="J16" s="1518"/>
      <c r="K16" s="1518"/>
      <c r="L16" s="1518"/>
      <c r="M16" s="1518"/>
      <c r="N16" s="1518"/>
      <c r="O16" s="734"/>
      <c r="P16" s="45"/>
      <c r="Q16" s="45"/>
      <c r="R16" s="45"/>
      <c r="S16" s="45"/>
      <c r="T16" s="45"/>
      <c r="U16" s="45"/>
      <c r="V16" s="45"/>
      <c r="W16" s="45"/>
      <c r="X16" s="45"/>
      <c r="Y16" s="45"/>
      <c r="Z16" s="45"/>
      <c r="AA16" s="45"/>
      <c r="AB16" s="45"/>
    </row>
    <row r="17" spans="1:28" s="59" customFormat="1" ht="12.75" customHeight="1">
      <c r="A17" s="45"/>
      <c r="B17" s="791"/>
      <c r="C17" s="727"/>
      <c r="D17" s="731"/>
      <c r="E17" s="1513" t="str">
        <f>Translations!$B$106</f>
        <v>Čia įrašytas sąrašas toliau lentelėse, kuriose aprašant įrenginį reikia pateikti veiklos nuorodą, bus pateiktas kaip išskleidžiamasis sąrašas.</v>
      </c>
      <c r="F17" s="1514"/>
      <c r="G17" s="1514"/>
      <c r="H17" s="1514"/>
      <c r="I17" s="1514"/>
      <c r="J17" s="1514"/>
      <c r="K17" s="1514"/>
      <c r="L17" s="1514"/>
      <c r="M17" s="1514"/>
      <c r="N17" s="1514"/>
      <c r="O17" s="748"/>
      <c r="P17" s="45"/>
      <c r="Q17" s="45"/>
      <c r="R17" s="45"/>
      <c r="S17" s="45"/>
      <c r="T17" s="45"/>
      <c r="U17" s="45"/>
      <c r="V17" s="45"/>
      <c r="W17" s="45"/>
      <c r="X17" s="45"/>
      <c r="Y17" s="45"/>
      <c r="Z17" s="45"/>
      <c r="AA17" s="45"/>
      <c r="AB17" s="45"/>
    </row>
    <row r="18" spans="1:28" s="59" customFormat="1" ht="12.75" customHeight="1">
      <c r="A18" s="45"/>
      <c r="B18" s="791"/>
      <c r="C18" s="727"/>
      <c r="D18" s="731"/>
      <c r="E18" s="1495" t="str">
        <f>Translations!$B$582</f>
        <v>Atkreipkite dėmesį, kad, atsižvelgiant į čia padarytus įrašus, tam tikrais atvejais gali būti pateikiami iš 7 dalies b punkto iškleidžiamojo sąrašo paimti veiklai būdingi sukėliklių tipai.</v>
      </c>
      <c r="F18" s="1496"/>
      <c r="G18" s="1496"/>
      <c r="H18" s="1496"/>
      <c r="I18" s="1496"/>
      <c r="J18" s="1496"/>
      <c r="K18" s="1496"/>
      <c r="L18" s="1496"/>
      <c r="M18" s="1496"/>
      <c r="N18" s="1496"/>
      <c r="O18" s="749"/>
      <c r="P18" s="45"/>
      <c r="Q18" s="45"/>
      <c r="R18" s="45"/>
      <c r="S18" s="45"/>
      <c r="T18" s="45"/>
      <c r="U18" s="45"/>
      <c r="V18" s="45"/>
      <c r="W18" s="45"/>
      <c r="X18" s="45"/>
      <c r="Y18" s="45"/>
      <c r="Z18" s="45"/>
      <c r="AA18" s="45"/>
      <c r="AB18" s="45"/>
    </row>
    <row r="19" spans="1:28" s="59" customFormat="1" ht="5.0999999999999996" customHeight="1">
      <c r="A19" s="45"/>
      <c r="B19" s="791"/>
      <c r="C19" s="727"/>
      <c r="D19" s="731"/>
      <c r="E19" s="288"/>
      <c r="F19" s="245"/>
      <c r="G19" s="245"/>
      <c r="H19" s="245"/>
      <c r="I19" s="245"/>
      <c r="J19" s="245"/>
      <c r="K19" s="245"/>
      <c r="L19" s="245"/>
      <c r="M19" s="245"/>
      <c r="N19" s="245"/>
      <c r="O19" s="749"/>
      <c r="P19" s="45"/>
      <c r="Q19" s="45"/>
      <c r="R19" s="45"/>
      <c r="S19" s="45"/>
      <c r="T19" s="45"/>
      <c r="U19" s="45"/>
      <c r="V19" s="45"/>
      <c r="W19" s="45"/>
      <c r="X19" s="45"/>
      <c r="Y19" s="45"/>
      <c r="Z19" s="45"/>
      <c r="AA19" s="45"/>
      <c r="AB19" s="45"/>
    </row>
    <row r="20" spans="1:28" s="59" customFormat="1" ht="25.5" customHeight="1">
      <c r="A20" s="45"/>
      <c r="B20" s="791"/>
      <c r="C20" s="727"/>
      <c r="D20" s="731"/>
      <c r="E20" s="1495" t="str">
        <f>Translations!$B$583</f>
        <v>Atminkite, kad, teikiant ataskaitas pagal BAF kategorijas, gali reikėti nurodyti su energija susijusį (1 kategorija) išmetamųjų ŠESD kiekį ir su procesu susijusį (pvz., karbonatų skilimas, 2 kategorija) išmetamųjų ŠESD kiekį.</v>
      </c>
      <c r="F20" s="1496"/>
      <c r="G20" s="1496"/>
      <c r="H20" s="1496"/>
      <c r="I20" s="1496"/>
      <c r="J20" s="1496"/>
      <c r="K20" s="1496"/>
      <c r="L20" s="1496"/>
      <c r="M20" s="1496"/>
      <c r="N20" s="1496"/>
      <c r="O20" s="749"/>
      <c r="P20" s="45"/>
      <c r="Q20" s="45"/>
      <c r="R20" s="45"/>
      <c r="S20" s="45"/>
      <c r="T20" s="45"/>
      <c r="U20" s="45"/>
      <c r="V20" s="45"/>
      <c r="W20" s="45"/>
      <c r="X20" s="45"/>
      <c r="Y20" s="45"/>
      <c r="Z20" s="45"/>
      <c r="AA20" s="45"/>
      <c r="AB20" s="45"/>
    </row>
    <row r="21" spans="1:28" ht="25.5" customHeight="1">
      <c r="A21" s="765"/>
      <c r="B21" s="793"/>
      <c r="C21" s="727"/>
      <c r="D21" s="202"/>
      <c r="E21" s="1526" t="str">
        <f>Translations!$B$537</f>
        <v>Pateikti su konkrečia valstybe nare susijusias rekomendacijas.</v>
      </c>
      <c r="F21" s="1526"/>
      <c r="G21" s="1526"/>
      <c r="H21" s="1526"/>
      <c r="I21" s="1526"/>
      <c r="J21" s="1526"/>
      <c r="K21" s="1526"/>
      <c r="L21" s="1526"/>
      <c r="M21" s="1526"/>
      <c r="N21" s="1526"/>
      <c r="O21" s="736"/>
      <c r="P21" s="45"/>
      <c r="Q21" s="45"/>
      <c r="R21" s="45"/>
      <c r="S21" s="45"/>
      <c r="T21" s="45"/>
      <c r="U21" s="45"/>
      <c r="V21" s="45"/>
      <c r="W21" s="45"/>
      <c r="X21" s="45"/>
      <c r="Y21" s="45"/>
      <c r="Z21" s="45"/>
      <c r="AA21" s="45"/>
      <c r="AB21" s="45"/>
    </row>
    <row r="22" spans="1:28" s="59" customFormat="1" ht="5.0999999999999996" customHeight="1">
      <c r="A22" s="45"/>
      <c r="B22" s="791"/>
      <c r="C22" s="727"/>
      <c r="D22" s="166"/>
      <c r="E22" s="206"/>
      <c r="F22" s="210"/>
      <c r="G22" s="206"/>
      <c r="H22" s="206"/>
      <c r="I22" s="206"/>
      <c r="J22" s="206"/>
      <c r="K22" s="206"/>
      <c r="L22" s="206"/>
      <c r="M22" s="206"/>
      <c r="N22" s="206"/>
      <c r="O22" s="747"/>
      <c r="P22" s="45"/>
      <c r="Q22" s="45"/>
      <c r="R22" s="45"/>
      <c r="S22" s="45"/>
      <c r="T22" s="45"/>
      <c r="U22" s="45"/>
      <c r="V22" s="45"/>
      <c r="W22" s="45"/>
      <c r="X22" s="45"/>
      <c r="Y22" s="45"/>
      <c r="Z22" s="45"/>
      <c r="AA22" s="45"/>
      <c r="AB22" s="45"/>
    </row>
    <row r="23" spans="1:28" s="59" customFormat="1" ht="33.75">
      <c r="A23" s="45"/>
      <c r="B23" s="791"/>
      <c r="C23" s="727"/>
      <c r="D23" s="211" t="str">
        <f>Translations!$B$584</f>
        <v>Nr.</v>
      </c>
      <c r="E23" s="1528" t="str">
        <f>Translations!$B$107</f>
        <v>I priedo veikla</v>
      </c>
      <c r="F23" s="1529"/>
      <c r="G23" s="1530"/>
      <c r="H23" s="1527" t="str">
        <f>Translations!$B$585</f>
        <v>BAF 1 kategorija (energija)</v>
      </c>
      <c r="I23" s="1527"/>
      <c r="J23" s="1527" t="str">
        <f>Translations!$B$586</f>
        <v>BAF 2 kategorija (proceso metu išsiskiriančios ŠESD)</v>
      </c>
      <c r="K23" s="1527"/>
      <c r="L23" s="212" t="str">
        <f>Translations!$B$108</f>
        <v xml:space="preserve">Bendras veiklos pajėgumas </v>
      </c>
      <c r="M23" s="212" t="str">
        <f>Translations!$B$109</f>
        <v>Pajėgumo vienetai</v>
      </c>
      <c r="N23" s="249" t="str">
        <f>Translations!$B$110</f>
        <v>Išmestos ŠESD</v>
      </c>
      <c r="O23" s="1105"/>
      <c r="P23" s="45"/>
      <c r="Q23" s="45"/>
      <c r="R23" s="45"/>
      <c r="S23" s="45"/>
      <c r="T23" s="45"/>
      <c r="U23" s="217" t="s">
        <v>107</v>
      </c>
      <c r="V23" s="217" t="s">
        <v>107</v>
      </c>
      <c r="W23" s="217" t="s">
        <v>107</v>
      </c>
      <c r="X23" s="217" t="s">
        <v>107</v>
      </c>
      <c r="Y23" s="217" t="s">
        <v>107</v>
      </c>
      <c r="Z23" s="45"/>
      <c r="AA23" s="45"/>
      <c r="AB23" s="45"/>
    </row>
    <row r="24" spans="1:28" s="59" customFormat="1" ht="12.75" customHeight="1">
      <c r="A24" s="47" t="s">
        <v>278</v>
      </c>
      <c r="B24" s="791"/>
      <c r="C24" s="727"/>
      <c r="D24" s="156" t="s">
        <v>79</v>
      </c>
      <c r="E24" s="1504" t="str">
        <f>Translations!$B$111</f>
        <v>Cemento klinkerio gamyba</v>
      </c>
      <c r="F24" s="1505"/>
      <c r="G24" s="1506"/>
      <c r="H24" s="1531" t="str">
        <f>Translations!$B$587</f>
        <v>1A2f – Energija – Kitos pramonės šakos</v>
      </c>
      <c r="I24" s="1531"/>
      <c r="J24" s="1531" t="str">
        <f>Translations!$B$588</f>
        <v>2A1 – Procesas – Cemento gamyba</v>
      </c>
      <c r="K24" s="1531"/>
      <c r="L24" s="156">
        <v>1500</v>
      </c>
      <c r="M24" s="148" t="str">
        <f>Translations!$B$112</f>
        <v>t per dieną</v>
      </c>
      <c r="N24" s="148" t="str">
        <f t="shared" ref="N24:N30" si="0">IF(ISBLANK(E24),"",INDEX(EUConst_AnnexIListGHG,MATCH(E24,AnnexIActivities,0)))</f>
        <v>CO2</v>
      </c>
      <c r="O24" s="747"/>
      <c r="P24" s="45"/>
      <c r="Q24" s="45"/>
      <c r="R24" s="45"/>
      <c r="S24" s="45"/>
      <c r="T24" s="45"/>
      <c r="U24" s="217"/>
      <c r="V24" s="217"/>
      <c r="W24" s="217"/>
      <c r="X24" s="217"/>
      <c r="Y24" s="217"/>
      <c r="Z24" s="45"/>
      <c r="AA24" s="45"/>
      <c r="AB24" s="45"/>
    </row>
    <row r="25" spans="1:28" s="59" customFormat="1" ht="12.75" customHeight="1" thickBot="1">
      <c r="A25" s="47" t="s">
        <v>278</v>
      </c>
      <c r="B25" s="791"/>
      <c r="C25" s="727"/>
      <c r="D25" s="156" t="s">
        <v>80</v>
      </c>
      <c r="E25" s="1504" t="str">
        <f>Translations!$B$113</f>
        <v>Kuro deginimas</v>
      </c>
      <c r="F25" s="1505"/>
      <c r="G25" s="1506"/>
      <c r="H25" s="1531" t="str">
        <f>Translations!$B$589</f>
        <v>1A1a – Energija – Valstybinė elektros energijos ir šilumos gamyba</v>
      </c>
      <c r="I25" s="1531"/>
      <c r="J25" s="1531"/>
      <c r="K25" s="1531"/>
      <c r="L25" s="156">
        <v>120</v>
      </c>
      <c r="M25" s="148" t="str">
        <f>Translations!$B$114</f>
        <v>MW(šil)</v>
      </c>
      <c r="N25" s="148" t="str">
        <f t="shared" si="0"/>
        <v>CO2</v>
      </c>
      <c r="O25" s="747"/>
      <c r="P25" s="45"/>
      <c r="Q25" s="45"/>
      <c r="R25" s="45"/>
      <c r="S25" s="45"/>
      <c r="T25" s="45"/>
      <c r="U25" s="217"/>
      <c r="V25" s="217"/>
      <c r="W25" s="217"/>
      <c r="X25" s="217"/>
      <c r="Y25" s="217"/>
      <c r="Z25" s="45"/>
      <c r="AA25" s="45"/>
      <c r="AB25" s="45"/>
    </row>
    <row r="26" spans="1:28" s="59" customFormat="1" ht="12.75" customHeight="1">
      <c r="A26" s="45"/>
      <c r="B26" s="791"/>
      <c r="C26" s="727"/>
      <c r="D26" s="61" t="s">
        <v>97</v>
      </c>
      <c r="E26" s="1523" t="s">
        <v>1371</v>
      </c>
      <c r="F26" s="1524"/>
      <c r="G26" s="1525"/>
      <c r="H26" s="1511" t="s">
        <v>1756</v>
      </c>
      <c r="I26" s="1511"/>
      <c r="J26" s="1511"/>
      <c r="K26" s="1511"/>
      <c r="L26" s="1060">
        <v>229.5</v>
      </c>
      <c r="M26" s="1061" t="s">
        <v>1372</v>
      </c>
      <c r="N26" s="62" t="str">
        <f t="shared" si="0"/>
        <v>CO2</v>
      </c>
      <c r="O26" s="747"/>
      <c r="P26" s="45"/>
      <c r="Q26" s="45"/>
      <c r="R26" s="45"/>
      <c r="S26" s="45"/>
      <c r="T26" s="45">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5"/>
      <c r="AB26" s="219" t="b">
        <f>MSPara_CRFMandatory</f>
        <v>0</v>
      </c>
    </row>
    <row r="27" spans="1:28" s="59" customFormat="1" ht="12.75" customHeight="1">
      <c r="A27" s="45"/>
      <c r="B27" s="791"/>
      <c r="C27" s="727"/>
      <c r="D27" s="61" t="s">
        <v>98</v>
      </c>
      <c r="E27" s="1523"/>
      <c r="F27" s="1524"/>
      <c r="G27" s="1525"/>
      <c r="H27" s="1511"/>
      <c r="I27" s="1511"/>
      <c r="J27" s="1511"/>
      <c r="K27" s="1511"/>
      <c r="L27" s="1060"/>
      <c r="M27" s="1061"/>
      <c r="N27" s="62" t="str">
        <f t="shared" si="0"/>
        <v/>
      </c>
      <c r="O27" s="747"/>
      <c r="P27" s="45"/>
      <c r="Q27" s="45"/>
      <c r="R27" s="45"/>
      <c r="S27" s="45"/>
      <c r="T27" s="45">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5"/>
      <c r="AB27" s="219" t="b">
        <f>AB26</f>
        <v>0</v>
      </c>
    </row>
    <row r="28" spans="1:28" s="59" customFormat="1" ht="12.75" customHeight="1">
      <c r="A28" s="45"/>
      <c r="B28" s="791"/>
      <c r="C28" s="727"/>
      <c r="D28" s="61" t="s">
        <v>99</v>
      </c>
      <c r="E28" s="1523"/>
      <c r="F28" s="1524"/>
      <c r="G28" s="1525"/>
      <c r="H28" s="1511"/>
      <c r="I28" s="1511"/>
      <c r="J28" s="1511"/>
      <c r="K28" s="1511"/>
      <c r="L28" s="1060"/>
      <c r="M28" s="1061"/>
      <c r="N28" s="62" t="str">
        <f t="shared" si="0"/>
        <v/>
      </c>
      <c r="O28" s="747"/>
      <c r="P28" s="45"/>
      <c r="Q28" s="45"/>
      <c r="R28" s="45"/>
      <c r="S28" s="45"/>
      <c r="T28" s="45">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5"/>
      <c r="AB28" s="219" t="b">
        <f>AB27</f>
        <v>0</v>
      </c>
    </row>
    <row r="29" spans="1:28" s="59" customFormat="1" ht="12.75" customHeight="1">
      <c r="A29" s="45"/>
      <c r="B29" s="791"/>
      <c r="C29" s="727"/>
      <c r="D29" s="61" t="s">
        <v>100</v>
      </c>
      <c r="E29" s="1523"/>
      <c r="F29" s="1524"/>
      <c r="G29" s="1525"/>
      <c r="H29" s="1511"/>
      <c r="I29" s="1511"/>
      <c r="J29" s="1511"/>
      <c r="K29" s="1511"/>
      <c r="L29" s="1060"/>
      <c r="M29" s="1061"/>
      <c r="N29" s="62" t="str">
        <f t="shared" si="0"/>
        <v/>
      </c>
      <c r="O29" s="747"/>
      <c r="P29" s="45"/>
      <c r="Q29" s="45"/>
      <c r="R29" s="45"/>
      <c r="S29" s="45"/>
      <c r="T29" s="45">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5"/>
      <c r="AB29" s="219" t="b">
        <f>AB28</f>
        <v>0</v>
      </c>
    </row>
    <row r="30" spans="1:28" s="59" customFormat="1" ht="12.75" customHeight="1" thickBot="1">
      <c r="A30" s="45"/>
      <c r="B30" s="791"/>
      <c r="C30" s="727"/>
      <c r="D30" s="61" t="s">
        <v>101</v>
      </c>
      <c r="E30" s="1523"/>
      <c r="F30" s="1524"/>
      <c r="G30" s="1525"/>
      <c r="H30" s="1511"/>
      <c r="I30" s="1511"/>
      <c r="J30" s="1511"/>
      <c r="K30" s="1511"/>
      <c r="L30" s="1060"/>
      <c r="M30" s="1061"/>
      <c r="N30" s="62" t="str">
        <f t="shared" si="0"/>
        <v/>
      </c>
      <c r="O30" s="747"/>
      <c r="P30" s="45"/>
      <c r="Q30" s="45"/>
      <c r="R30" s="45"/>
      <c r="S30" s="45"/>
      <c r="T30" s="45">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5"/>
      <c r="AB30" s="219" t="b">
        <f>AB29</f>
        <v>0</v>
      </c>
    </row>
    <row r="31" spans="1:28" s="59" customFormat="1" ht="12.75" customHeight="1">
      <c r="A31" s="45"/>
      <c r="B31" s="791"/>
      <c r="C31" s="727"/>
      <c r="D31" s="166"/>
      <c r="E31" s="206"/>
      <c r="F31" s="206"/>
      <c r="G31" s="206"/>
      <c r="H31" s="206"/>
      <c r="I31" s="206"/>
      <c r="J31" s="206"/>
      <c r="K31" s="206"/>
      <c r="L31" s="206"/>
      <c r="M31" s="206"/>
      <c r="N31" s="206"/>
      <c r="O31" s="734"/>
      <c r="P31" s="45"/>
      <c r="Q31" s="45"/>
      <c r="R31" s="45"/>
      <c r="S31" s="45"/>
      <c r="T31" s="45"/>
      <c r="U31" s="45"/>
      <c r="V31" s="45"/>
      <c r="W31" s="45"/>
      <c r="X31" s="45"/>
      <c r="Y31" s="45"/>
      <c r="Z31" s="45"/>
      <c r="AA31" s="45"/>
      <c r="AB31" s="45"/>
    </row>
    <row r="32" spans="1:28" s="28" customFormat="1" ht="18.75" customHeight="1">
      <c r="A32" s="489"/>
      <c r="B32" s="790"/>
      <c r="C32" s="717">
        <v>7</v>
      </c>
      <c r="D32" s="1512" t="str">
        <f>Translations!$B$7</f>
        <v>Apie įrenginio išmetamąsias ŠESD</v>
      </c>
      <c r="E32" s="1512"/>
      <c r="F32" s="1512"/>
      <c r="G32" s="1512"/>
      <c r="H32" s="1512"/>
      <c r="I32" s="1512"/>
      <c r="J32" s="1512"/>
      <c r="K32" s="1512"/>
      <c r="L32" s="1512"/>
      <c r="M32" s="1512"/>
      <c r="N32" s="1512"/>
      <c r="O32" s="744"/>
      <c r="P32" s="45"/>
      <c r="Q32" s="45"/>
      <c r="R32" s="45"/>
      <c r="S32" s="45"/>
      <c r="T32" s="45"/>
      <c r="U32" s="45"/>
      <c r="V32" s="45"/>
      <c r="W32" s="45"/>
      <c r="X32" s="45"/>
      <c r="Y32" s="45"/>
      <c r="Z32" s="45"/>
      <c r="AA32" s="45"/>
      <c r="AB32" s="45"/>
    </row>
    <row r="33" spans="1:28" s="59" customFormat="1" ht="12.75" customHeight="1">
      <c r="A33" s="45"/>
      <c r="B33" s="791"/>
      <c r="C33" s="727"/>
      <c r="D33" s="305"/>
      <c r="E33" s="208"/>
      <c r="F33" s="208"/>
      <c r="G33" s="208"/>
      <c r="H33" s="208"/>
      <c r="I33" s="208"/>
      <c r="J33" s="31"/>
      <c r="K33" s="31"/>
      <c r="L33" s="31"/>
      <c r="M33" s="31"/>
      <c r="N33" s="206"/>
      <c r="O33" s="750"/>
      <c r="P33" s="224"/>
      <c r="Q33" s="224"/>
      <c r="R33" s="45"/>
      <c r="S33" s="45"/>
      <c r="T33" s="45"/>
      <c r="U33" s="45"/>
      <c r="V33" s="45"/>
      <c r="W33" s="45"/>
      <c r="X33" s="45"/>
      <c r="Y33" s="45"/>
      <c r="Z33" s="45"/>
      <c r="AA33" s="45"/>
      <c r="AB33" s="45"/>
    </row>
    <row r="34" spans="1:28" s="59" customFormat="1" ht="15" customHeight="1">
      <c r="A34" s="45"/>
      <c r="B34" s="791"/>
      <c r="C34" s="727"/>
      <c r="D34" s="857" t="s">
        <v>1</v>
      </c>
      <c r="E34" s="1498" t="str">
        <f>Translations!$B$590</f>
        <v>Stebėsenos metodai:</v>
      </c>
      <c r="F34" s="1498"/>
      <c r="G34" s="1498"/>
      <c r="H34" s="1498"/>
      <c r="I34" s="1498"/>
      <c r="J34" s="1498"/>
      <c r="K34" s="1498"/>
      <c r="L34" s="1498"/>
      <c r="M34" s="1498"/>
      <c r="N34" s="1498"/>
      <c r="O34" s="751"/>
      <c r="P34" s="215"/>
      <c r="Q34" s="216"/>
      <c r="R34" s="45"/>
      <c r="S34" s="45"/>
      <c r="T34" s="45"/>
      <c r="U34" s="45"/>
      <c r="V34" s="45"/>
      <c r="W34" s="45"/>
      <c r="X34" s="45"/>
      <c r="Y34" s="45"/>
      <c r="Z34" s="45"/>
      <c r="AA34" s="45"/>
      <c r="AB34" s="45"/>
    </row>
    <row r="35" spans="1:28" s="59" customFormat="1" ht="5.0999999999999996" customHeight="1">
      <c r="A35" s="45"/>
      <c r="B35" s="791"/>
      <c r="C35" s="727"/>
      <c r="D35" s="812"/>
      <c r="E35" s="812"/>
      <c r="F35" s="812"/>
      <c r="G35" s="812"/>
      <c r="H35" s="812"/>
      <c r="I35" s="812"/>
      <c r="J35" s="812"/>
      <c r="K35" s="812"/>
      <c r="L35" s="812"/>
      <c r="M35" s="812"/>
      <c r="N35" s="206"/>
      <c r="O35" s="751"/>
      <c r="P35" s="215"/>
      <c r="Q35" s="216"/>
      <c r="R35" s="45"/>
      <c r="S35" s="45"/>
      <c r="T35" s="45"/>
      <c r="U35" s="45"/>
      <c r="V35" s="45"/>
      <c r="W35" s="45"/>
      <c r="X35" s="45"/>
      <c r="Y35" s="45"/>
      <c r="Z35" s="45"/>
      <c r="AA35" s="45"/>
      <c r="AB35" s="45"/>
    </row>
    <row r="36" spans="1:28" s="59" customFormat="1" ht="12.75" customHeight="1">
      <c r="A36" s="45"/>
      <c r="B36" s="791"/>
      <c r="C36" s="727"/>
      <c r="D36" s="731"/>
      <c r="E36" s="1515" t="str">
        <f>Translations!$B$591</f>
        <v>Patvirtinkite, kurie iš toliau nurodytų stebėsenos metodų yra taikomi:</v>
      </c>
      <c r="F36" s="1515"/>
      <c r="G36" s="1515"/>
      <c r="H36" s="1515"/>
      <c r="I36" s="1515"/>
      <c r="J36" s="1515"/>
      <c r="K36" s="1515"/>
      <c r="L36" s="1515"/>
      <c r="M36" s="1515"/>
      <c r="N36" s="1515"/>
      <c r="O36" s="751"/>
      <c r="P36" s="216"/>
      <c r="Q36" s="216"/>
      <c r="R36" s="45"/>
      <c r="S36" s="45"/>
      <c r="T36" s="45"/>
      <c r="U36" s="45"/>
      <c r="V36" s="45"/>
      <c r="W36" s="45"/>
      <c r="X36" s="45"/>
      <c r="Y36" s="45"/>
      <c r="Z36" s="45"/>
      <c r="AA36" s="45"/>
      <c r="AB36" s="45"/>
    </row>
    <row r="37" spans="1:28" s="59" customFormat="1" ht="25.5" customHeight="1">
      <c r="A37" s="45"/>
      <c r="B37" s="791"/>
      <c r="C37" s="727"/>
      <c r="D37" s="731"/>
      <c r="E37" s="1515" t="str">
        <f>Translations!$B$115</f>
        <v>Remiantis 21 str., išmetamųjų ŠESD kiekis gali būti nustatomas skaičiavimu grindžiama metodika (skaičiavimas) arba matavimu grindžiama metodika (matavimas), išskyrus atvejus, kai SAR nustatyta, kurią metodiką privaloma taikyti.</v>
      </c>
      <c r="F37" s="1515"/>
      <c r="G37" s="1515"/>
      <c r="H37" s="1515"/>
      <c r="I37" s="1515"/>
      <c r="J37" s="1515"/>
      <c r="K37" s="1515"/>
      <c r="L37" s="1515"/>
      <c r="M37" s="1515"/>
      <c r="N37" s="1515"/>
      <c r="O37" s="752"/>
      <c r="P37" s="225"/>
      <c r="Q37" s="216"/>
      <c r="R37" s="45"/>
      <c r="S37" s="45"/>
      <c r="T37" s="45"/>
      <c r="U37" s="45"/>
      <c r="V37" s="45"/>
      <c r="W37" s="45"/>
      <c r="X37" s="45"/>
      <c r="Y37" s="45"/>
      <c r="Z37" s="45"/>
      <c r="AA37" s="45"/>
      <c r="AB37" s="45"/>
    </row>
    <row r="38" spans="1:28" s="59" customFormat="1" ht="38.85" customHeight="1">
      <c r="A38" s="45"/>
      <c r="B38" s="791"/>
      <c r="C38" s="727"/>
      <c r="D38" s="731"/>
      <c r="E38" s="149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5"/>
      <c r="G38" s="1495"/>
      <c r="H38" s="1495"/>
      <c r="I38" s="1495"/>
      <c r="J38" s="1495"/>
      <c r="K38" s="1495"/>
      <c r="L38" s="1495"/>
      <c r="M38" s="1495"/>
      <c r="N38" s="1495"/>
      <c r="O38" s="752"/>
      <c r="P38" s="225"/>
      <c r="Q38" s="216"/>
      <c r="R38" s="45"/>
      <c r="S38" s="45"/>
      <c r="T38" s="45"/>
      <c r="U38" s="45"/>
      <c r="V38" s="45"/>
      <c r="W38" s="45"/>
      <c r="X38" s="45"/>
      <c r="Y38" s="45"/>
      <c r="Z38" s="45"/>
      <c r="AA38" s="45"/>
      <c r="AB38" s="45"/>
    </row>
    <row r="39" spans="1:28" s="59" customFormat="1" ht="25.5" customHeight="1">
      <c r="A39" s="45"/>
      <c r="B39" s="791"/>
      <c r="C39" s="727"/>
      <c r="D39" s="731"/>
      <c r="E39" s="1495" t="str">
        <f>Translations!$B$593</f>
        <v>Jeigu dėl kurio nors kitų dalių punkto negalėsite užpildyti dalies, kurią, Jūsų įsitikinimu, privaloma užpildyti atsižvelgiant į Jūsų veiklą, dar kartą patikrinkite, ar išsamiai užpildyta 7 dalis.</v>
      </c>
      <c r="F39" s="1495"/>
      <c r="G39" s="1495"/>
      <c r="H39" s="1495"/>
      <c r="I39" s="1495"/>
      <c r="J39" s="1495"/>
      <c r="K39" s="1495"/>
      <c r="L39" s="1495"/>
      <c r="M39" s="1495"/>
      <c r="N39" s="1495"/>
      <c r="O39" s="752"/>
      <c r="P39" s="225"/>
      <c r="Q39" s="216"/>
      <c r="R39" s="45"/>
      <c r="S39" s="45"/>
      <c r="T39" s="45"/>
      <c r="U39" s="45"/>
      <c r="V39" s="45"/>
      <c r="W39" s="45"/>
      <c r="X39" s="45"/>
      <c r="Y39" s="45"/>
      <c r="Z39" s="45"/>
      <c r="AA39" s="45"/>
      <c r="AB39" s="45"/>
    </row>
    <row r="40" spans="1:28" s="59" customFormat="1" ht="12.75" customHeight="1">
      <c r="A40" s="45"/>
      <c r="B40" s="791"/>
      <c r="C40" s="727"/>
      <c r="D40" s="731"/>
      <c r="E40" s="1495" t="str">
        <f>Translations!$B$594</f>
        <v>Atminkite, kad čia daromi įrašai turi derėti su atitinkamomis Jūsų naujausio patvirtinto stebėsenos plano dalimis.</v>
      </c>
      <c r="F40" s="1495"/>
      <c r="G40" s="1495"/>
      <c r="H40" s="1495"/>
      <c r="I40" s="1495"/>
      <c r="J40" s="1495"/>
      <c r="K40" s="1495"/>
      <c r="L40" s="1495"/>
      <c r="M40" s="1495"/>
      <c r="N40" s="1495"/>
      <c r="O40" s="752"/>
      <c r="P40" s="225"/>
      <c r="Q40" s="216"/>
      <c r="R40" s="45"/>
      <c r="S40" s="45"/>
      <c r="T40" s="45"/>
      <c r="U40" s="45"/>
      <c r="V40" s="45"/>
      <c r="W40" s="45"/>
      <c r="X40" s="45"/>
      <c r="Y40" s="45"/>
      <c r="Z40" s="45"/>
      <c r="AA40" s="45"/>
      <c r="AB40" s="45"/>
    </row>
    <row r="41" spans="1:28" s="59" customFormat="1" ht="5.0999999999999996" customHeight="1">
      <c r="A41" s="45"/>
      <c r="B41" s="791"/>
      <c r="C41" s="727"/>
      <c r="D41" s="731"/>
      <c r="E41" s="207"/>
      <c r="F41" s="207"/>
      <c r="G41" s="206"/>
      <c r="H41" s="63"/>
      <c r="I41" s="63"/>
      <c r="J41" s="207"/>
      <c r="K41" s="207"/>
      <c r="L41" s="207"/>
      <c r="M41" s="207"/>
      <c r="N41" s="206"/>
      <c r="O41" s="747"/>
      <c r="P41" s="45"/>
      <c r="Q41" s="45"/>
      <c r="R41" s="45"/>
      <c r="S41" s="45"/>
      <c r="T41" s="45"/>
      <c r="U41" s="45"/>
      <c r="V41" s="45"/>
      <c r="W41" s="45"/>
      <c r="X41" s="45"/>
      <c r="Y41" s="45"/>
      <c r="Z41" s="45"/>
      <c r="AA41" s="45"/>
      <c r="AB41" s="45"/>
    </row>
    <row r="42" spans="1:28" s="59" customFormat="1" ht="12.75" customHeight="1">
      <c r="A42" s="45"/>
      <c r="B42" s="791"/>
      <c r="C42" s="727"/>
      <c r="D42" s="731"/>
      <c r="E42" s="1519" t="str">
        <f>Translations!$B$116</f>
        <v>CO2 skaičiavimo metodas:</v>
      </c>
      <c r="F42" s="1519"/>
      <c r="G42" s="1519"/>
      <c r="H42" s="1519"/>
      <c r="I42" s="198" t="b">
        <v>1</v>
      </c>
      <c r="J42" s="1516" t="str">
        <f>IF(CNTR_InstHasCalculation=TRUE,EUConst_RelSectionCalc,"")</f>
        <v>Aktualūs skirsniai: 7 skirsnio b punktas, 8 skirsnis.</v>
      </c>
      <c r="K42" s="1517"/>
      <c r="L42" s="1517"/>
      <c r="M42" s="1517"/>
      <c r="N42" s="1517"/>
      <c r="O42" s="734"/>
      <c r="P42" s="47"/>
      <c r="Q42" s="45"/>
      <c r="R42" s="175"/>
      <c r="S42" s="45"/>
      <c r="T42" s="45"/>
      <c r="U42" s="45"/>
      <c r="V42" s="45"/>
      <c r="W42" s="45"/>
      <c r="X42" s="45"/>
      <c r="Y42" s="45"/>
      <c r="Z42" s="45"/>
      <c r="AA42" s="45"/>
      <c r="AB42" s="45"/>
    </row>
    <row r="43" spans="1:28" s="59" customFormat="1" ht="12.75" customHeight="1">
      <c r="A43" s="45"/>
      <c r="B43" s="791"/>
      <c r="C43" s="727"/>
      <c r="D43" s="731"/>
      <c r="E43" s="1519" t="str">
        <f>Translations!$B$117</f>
        <v>CO2 matavimo metodas:</v>
      </c>
      <c r="F43" s="1519"/>
      <c r="G43" s="1519"/>
      <c r="H43" s="1519"/>
      <c r="I43" s="198"/>
      <c r="J43" s="1516" t="str">
        <f>IF(CNTR_InstHasMeasurement=TRUE,EUConst_RelSectionMeasure,"")</f>
        <v/>
      </c>
      <c r="K43" s="1517"/>
      <c r="L43" s="1517"/>
      <c r="M43" s="1517"/>
      <c r="N43" s="1517"/>
      <c r="O43" s="734"/>
      <c r="P43" s="47"/>
      <c r="Q43" s="45"/>
      <c r="R43" s="45"/>
      <c r="S43" s="45"/>
      <c r="T43" s="45"/>
      <c r="U43" s="45"/>
      <c r="V43" s="45"/>
      <c r="W43" s="45"/>
      <c r="X43" s="45"/>
      <c r="Y43" s="45"/>
      <c r="Z43" s="45"/>
      <c r="AA43" s="45"/>
      <c r="AB43" s="45"/>
    </row>
    <row r="44" spans="1:28" s="59" customFormat="1" ht="12.75" customHeight="1">
      <c r="A44" s="45"/>
      <c r="B44" s="791"/>
      <c r="C44" s="727"/>
      <c r="D44" s="731"/>
      <c r="E44" s="1519" t="str">
        <f>Translations!$B$118</f>
        <v>Alternatyvus metodas (22 str.):</v>
      </c>
      <c r="F44" s="1519"/>
      <c r="G44" s="1519"/>
      <c r="H44" s="1519"/>
      <c r="I44" s="198"/>
      <c r="J44" s="1516" t="str">
        <f>IF(CNTR_InstHasFallBack=TRUE,EUConst_RelSectionFallback,"")</f>
        <v/>
      </c>
      <c r="K44" s="1517"/>
      <c r="L44" s="1517"/>
      <c r="M44" s="1517"/>
      <c r="N44" s="1517"/>
      <c r="O44" s="734"/>
      <c r="P44" s="47"/>
      <c r="Q44" s="45"/>
      <c r="R44" s="45"/>
      <c r="S44" s="45"/>
      <c r="T44" s="45"/>
      <c r="U44" s="45"/>
      <c r="V44" s="45"/>
      <c r="W44" s="45"/>
      <c r="X44" s="45"/>
      <c r="Y44" s="45"/>
      <c r="Z44" s="45"/>
      <c r="AA44" s="45"/>
      <c r="AB44" s="45"/>
    </row>
    <row r="45" spans="1:28" s="59" customFormat="1" ht="12.75" customHeight="1">
      <c r="A45" s="45"/>
      <c r="B45" s="791"/>
      <c r="C45" s="727"/>
      <c r="D45" s="731"/>
      <c r="E45" s="1519" t="str">
        <f>Translations!$B$119</f>
        <v>Išmetamųjų N2O stebėsena</v>
      </c>
      <c r="F45" s="1519"/>
      <c r="G45" s="1519"/>
      <c r="H45" s="1519"/>
      <c r="I45" s="198"/>
      <c r="J45" s="1516" t="str">
        <f>IF(CNTR_InstHasN2O=TRUE,EUConst_RelSectionN2O,"")</f>
        <v/>
      </c>
      <c r="K45" s="1517"/>
      <c r="L45" s="1517"/>
      <c r="M45" s="1517"/>
      <c r="N45" s="1517"/>
      <c r="O45" s="734"/>
      <c r="P45" s="47"/>
      <c r="Q45" s="45"/>
      <c r="R45" s="45"/>
      <c r="S45" s="45"/>
      <c r="T45" s="45"/>
      <c r="U45" s="45"/>
      <c r="V45" s="45"/>
      <c r="W45" s="45"/>
      <c r="X45" s="45"/>
      <c r="Y45" s="45"/>
      <c r="Z45" s="45"/>
      <c r="AA45" s="45"/>
      <c r="AB45" s="45"/>
    </row>
    <row r="46" spans="1:28" s="59" customFormat="1" ht="12.75" customHeight="1">
      <c r="A46" s="45"/>
      <c r="B46" s="791"/>
      <c r="C46" s="727"/>
      <c r="D46" s="731"/>
      <c r="E46" s="1519" t="str">
        <f>Translations!$B$120</f>
        <v>Išmetamųjų PFC stebėsena</v>
      </c>
      <c r="F46" s="1519"/>
      <c r="G46" s="1519"/>
      <c r="H46" s="1519"/>
      <c r="I46" s="198"/>
      <c r="J46" s="1516" t="str">
        <f>IF(CNTR_InstHasPFC=TRUE,EUConst_RelSectionPFC,"")</f>
        <v/>
      </c>
      <c r="K46" s="1517"/>
      <c r="L46" s="1517"/>
      <c r="M46" s="1517"/>
      <c r="N46" s="1517"/>
      <c r="O46" s="734"/>
      <c r="P46" s="47"/>
      <c r="Q46" s="45"/>
      <c r="R46" s="45"/>
      <c r="S46" s="45"/>
      <c r="T46" s="45"/>
      <c r="U46" s="45"/>
      <c r="V46" s="45"/>
      <c r="W46" s="45"/>
      <c r="X46" s="45"/>
      <c r="Y46" s="45"/>
      <c r="Z46" s="45"/>
      <c r="AA46" s="45"/>
      <c r="AB46" s="45"/>
    </row>
    <row r="47" spans="1:28" s="59" customFormat="1" ht="12.75" customHeight="1">
      <c r="A47" s="45"/>
      <c r="B47" s="791"/>
      <c r="C47" s="727"/>
      <c r="D47" s="731"/>
      <c r="E47" s="1519" t="str">
        <f>Translations!$B$121</f>
        <v>Perduoto / būdingojo CO2 ir CCS stebėsena</v>
      </c>
      <c r="F47" s="1519"/>
      <c r="G47" s="1519"/>
      <c r="H47" s="1519"/>
      <c r="I47" s="198"/>
      <c r="J47" s="1516" t="str">
        <f>IF(CNTR_InstHasTransferredCO2=TRUE,EUConst_RelSectionCCS,"")</f>
        <v/>
      </c>
      <c r="K47" s="1517"/>
      <c r="L47" s="1517"/>
      <c r="M47" s="1517"/>
      <c r="N47" s="1517"/>
      <c r="O47" s="734"/>
      <c r="P47" s="47"/>
      <c r="Q47" s="45"/>
      <c r="R47" s="45"/>
      <c r="S47" s="45"/>
      <c r="T47" s="45"/>
      <c r="U47" s="45"/>
      <c r="V47" s="45"/>
      <c r="W47" s="45"/>
      <c r="X47" s="45"/>
      <c r="Y47" s="45"/>
      <c r="Z47" s="45"/>
      <c r="AA47" s="45"/>
      <c r="AB47" s="45"/>
    </row>
    <row r="48" spans="1:28" s="59" customFormat="1" ht="12.75" customHeight="1">
      <c r="A48" s="45"/>
      <c r="B48" s="791"/>
      <c r="C48" s="727"/>
      <c r="D48" s="166"/>
      <c r="E48" s="206"/>
      <c r="F48" s="206"/>
      <c r="G48" s="206"/>
      <c r="H48" s="206"/>
      <c r="I48" s="206"/>
      <c r="J48" s="206"/>
      <c r="K48" s="206"/>
      <c r="L48" s="206"/>
      <c r="M48" s="206"/>
      <c r="N48" s="206"/>
      <c r="O48" s="734"/>
      <c r="P48" s="45"/>
      <c r="Q48" s="45"/>
      <c r="R48" s="45"/>
      <c r="S48" s="45"/>
      <c r="T48" s="45"/>
      <c r="U48" s="45"/>
      <c r="V48" s="45"/>
      <c r="W48" s="45"/>
      <c r="X48" s="45"/>
      <c r="Y48" s="45"/>
      <c r="Z48" s="45"/>
      <c r="AA48" s="45"/>
      <c r="AB48" s="45"/>
    </row>
    <row r="49" spans="1:28" s="28" customFormat="1" ht="15" customHeight="1">
      <c r="A49" s="170"/>
      <c r="B49" s="790"/>
      <c r="C49" s="727"/>
      <c r="D49" s="857" t="s">
        <v>2</v>
      </c>
      <c r="E49" s="1498" t="str">
        <f>Translations!$B$595</f>
        <v>Aktualūs sukėlikliai:</v>
      </c>
      <c r="F49" s="1498"/>
      <c r="G49" s="1498"/>
      <c r="H49" s="1498"/>
      <c r="I49" s="1498"/>
      <c r="J49" s="1498"/>
      <c r="K49" s="1499"/>
      <c r="L49" s="1520" t="str">
        <f>IF(OR(CNTR_InstHasCalculation=TRUE,CNTR_InstHasPFC=TRUE),EUconst_Relevant,IF(COUNTA(CNTR_ListRelevantSections)&gt;0,EUconst_NotRelevant,EUconst_Relevant))</f>
        <v>svarbu</v>
      </c>
      <c r="M49" s="1521"/>
      <c r="N49" s="1522"/>
      <c r="O49" s="753"/>
      <c r="P49" s="229"/>
      <c r="Q49" s="226"/>
      <c r="R49" s="170"/>
      <c r="S49" s="170"/>
      <c r="T49" s="170"/>
      <c r="U49" s="170"/>
      <c r="V49" s="170"/>
      <c r="W49" s="45"/>
      <c r="X49" s="170"/>
      <c r="Y49" s="170"/>
      <c r="Z49" s="170"/>
      <c r="AA49" s="170"/>
      <c r="AB49" s="170"/>
    </row>
    <row r="50" spans="1:28" s="28" customFormat="1" ht="12.75" customHeight="1">
      <c r="A50" s="170"/>
      <c r="B50" s="790"/>
      <c r="C50" s="727"/>
      <c r="D50" s="166"/>
      <c r="E50" s="731"/>
      <c r="F50" s="166"/>
      <c r="G50" s="166"/>
      <c r="H50" s="166"/>
      <c r="I50" s="166"/>
      <c r="J50" s="166"/>
      <c r="K50" s="1507" t="str">
        <f>IF(L49=EUconst_NotRelevant,HYPERLINK(R50,EUconst_MsgGoOn),HYPERLINK("",EUconst_MsgEnterThisSection))</f>
        <v>Įvesti duomenis į šį skirsnį</v>
      </c>
      <c r="L50" s="1507"/>
      <c r="M50" s="1507"/>
      <c r="N50" s="1507"/>
      <c r="O50" s="744"/>
      <c r="P50" s="170"/>
      <c r="Q50" s="1" t="s">
        <v>239</v>
      </c>
      <c r="R50" s="230" t="str">
        <f>"#"&amp;ADDRESS(ROW(JUMP_6d),COLUMN(JUMP_6d))</f>
        <v>#$D$147</v>
      </c>
      <c r="S50" s="170"/>
      <c r="T50" s="170"/>
      <c r="U50" s="170"/>
      <c r="V50" s="170"/>
      <c r="W50" s="45"/>
      <c r="X50" s="170"/>
      <c r="Y50" s="170"/>
      <c r="Z50" s="170"/>
      <c r="AA50" s="170"/>
      <c r="AB50" s="170"/>
    </row>
    <row r="51" spans="1:28" s="28" customFormat="1" ht="5.0999999999999996" customHeight="1">
      <c r="A51" s="170"/>
      <c r="B51" s="790"/>
      <c r="C51" s="727"/>
      <c r="D51" s="812"/>
      <c r="E51" s="812"/>
      <c r="F51" s="812"/>
      <c r="G51" s="812"/>
      <c r="H51" s="812"/>
      <c r="I51" s="812"/>
      <c r="J51" s="812"/>
      <c r="K51" s="812"/>
      <c r="L51" s="812"/>
      <c r="M51" s="812"/>
      <c r="N51" s="812"/>
      <c r="O51" s="753"/>
      <c r="P51" s="229"/>
      <c r="Q51" s="226"/>
      <c r="R51" s="170"/>
      <c r="S51" s="170"/>
      <c r="T51" s="170"/>
      <c r="U51" s="170"/>
      <c r="V51" s="170"/>
      <c r="W51" s="45"/>
      <c r="X51" s="170"/>
      <c r="Y51" s="170"/>
      <c r="Z51" s="170"/>
      <c r="AA51" s="170"/>
      <c r="AB51" s="170"/>
    </row>
    <row r="52" spans="1:28" s="59" customFormat="1" ht="25.5" customHeight="1">
      <c r="A52" s="45"/>
      <c r="B52" s="791"/>
      <c r="C52" s="727"/>
      <c r="D52" s="731"/>
      <c r="E52" s="1494"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4"/>
      <c r="G52" s="1494"/>
      <c r="H52" s="1494"/>
      <c r="I52" s="1494"/>
      <c r="J52" s="1494"/>
      <c r="K52" s="1494"/>
      <c r="L52" s="1494"/>
      <c r="M52" s="1494"/>
      <c r="N52" s="1494"/>
      <c r="O52" s="754"/>
      <c r="P52" s="214"/>
      <c r="Q52" s="214"/>
      <c r="R52" s="45"/>
      <c r="S52" s="45"/>
      <c r="T52" s="45"/>
      <c r="U52" s="45"/>
      <c r="V52" s="45"/>
      <c r="W52" s="45"/>
      <c r="X52" s="45"/>
      <c r="Y52" s="45"/>
      <c r="Z52" s="45"/>
      <c r="AA52" s="45"/>
      <c r="AB52" s="45"/>
    </row>
    <row r="53" spans="1:28" s="59" customFormat="1" ht="12.75" customHeight="1">
      <c r="A53" s="45"/>
      <c r="B53" s="791"/>
      <c r="C53" s="727"/>
      <c r="D53" s="731"/>
      <c r="E53" s="1494" t="str">
        <f>Translations!$B$597</f>
        <v>Kiekvienas sukėliklis turėtų būti identifikuojamas atliekant šiuos veiksmus:</v>
      </c>
      <c r="F53" s="1494"/>
      <c r="G53" s="1494"/>
      <c r="H53" s="1494"/>
      <c r="I53" s="1494"/>
      <c r="J53" s="1494"/>
      <c r="K53" s="1494"/>
      <c r="L53" s="1494"/>
      <c r="M53" s="1494"/>
      <c r="N53" s="1494"/>
      <c r="O53" s="754"/>
      <c r="P53" s="214"/>
      <c r="Q53" s="214"/>
      <c r="R53" s="45"/>
      <c r="S53" s="45"/>
      <c r="T53" s="45"/>
      <c r="U53" s="45"/>
      <c r="V53" s="45"/>
      <c r="W53" s="45"/>
      <c r="X53" s="45"/>
      <c r="Y53" s="45"/>
      <c r="Z53" s="45"/>
      <c r="AA53" s="45"/>
      <c r="AB53" s="45"/>
    </row>
    <row r="54" spans="1:28" s="59" customFormat="1" ht="12.75" customHeight="1">
      <c r="A54" s="45"/>
      <c r="B54" s="791"/>
      <c r="C54" s="727"/>
      <c r="D54" s="731"/>
      <c r="E54" s="241" t="s">
        <v>471</v>
      </c>
      <c r="F54" s="1494" t="str">
        <f>Translations!$B$598</f>
        <v>Iš išskleidžiamojo sąrašo pasirinkite sukėliklio tipą.</v>
      </c>
      <c r="G54" s="1494"/>
      <c r="H54" s="1494"/>
      <c r="I54" s="1494"/>
      <c r="J54" s="1494"/>
      <c r="K54" s="1494"/>
      <c r="L54" s="1494"/>
      <c r="M54" s="1494"/>
      <c r="N54" s="1494"/>
      <c r="O54" s="754"/>
      <c r="P54" s="214"/>
      <c r="Q54" s="214"/>
      <c r="R54" s="45"/>
      <c r="S54" s="45"/>
      <c r="T54" s="45"/>
      <c r="U54" s="45"/>
      <c r="V54" s="45"/>
      <c r="W54" s="45"/>
      <c r="X54" s="45"/>
      <c r="Y54" s="45"/>
      <c r="Z54" s="45"/>
      <c r="AA54" s="45"/>
      <c r="AB54" s="45"/>
    </row>
    <row r="55" spans="1:28" s="59" customFormat="1" ht="25.5" customHeight="1">
      <c r="A55" s="45"/>
      <c r="B55" s="791"/>
      <c r="C55" s="727"/>
      <c r="D55" s="731"/>
      <c r="E55" s="713"/>
      <c r="F55" s="1494" t="str">
        <f>Translations!$B$128</f>
        <v>Sukėliklio tipas – tai tam tikrų pagal SAR taikytinų taisyklių rinkinys. Šia klasifikacija paremti tolesni įpareigojimai, pvz., taikytinos pakopos.</v>
      </c>
      <c r="G55" s="1494"/>
      <c r="H55" s="1494"/>
      <c r="I55" s="1494"/>
      <c r="J55" s="1494"/>
      <c r="K55" s="1494"/>
      <c r="L55" s="1494"/>
      <c r="M55" s="1494"/>
      <c r="N55" s="1494"/>
      <c r="O55" s="754"/>
      <c r="P55" s="214"/>
      <c r="Q55" s="214"/>
      <c r="R55" s="45"/>
      <c r="S55" s="45"/>
      <c r="T55" s="45"/>
      <c r="U55" s="45"/>
      <c r="V55" s="45"/>
      <c r="W55" s="45"/>
      <c r="X55" s="45"/>
      <c r="Y55" s="45"/>
      <c r="Z55" s="45"/>
      <c r="AA55" s="45"/>
      <c r="AB55" s="45"/>
    </row>
    <row r="56" spans="1:28" s="59" customFormat="1" ht="12.75" customHeight="1">
      <c r="A56" s="45"/>
      <c r="B56" s="791"/>
      <c r="C56" s="727"/>
      <c r="D56" s="731"/>
      <c r="E56" s="713"/>
      <c r="F56" s="1494" t="str">
        <f>Translations!$B$599</f>
        <v>Išskleidžiamasis sąrašas, iš kurio pasirenkamas sukėliklio tipas, grindžiamas veiklos rūšimis, jau pasirinktomis 6 dalyje.</v>
      </c>
      <c r="G56" s="1494"/>
      <c r="H56" s="1494"/>
      <c r="I56" s="1494"/>
      <c r="J56" s="1494"/>
      <c r="K56" s="1494"/>
      <c r="L56" s="1494"/>
      <c r="M56" s="1494"/>
      <c r="N56" s="1494"/>
      <c r="O56" s="754"/>
      <c r="P56" s="214"/>
      <c r="Q56" s="214"/>
      <c r="R56" s="45"/>
      <c r="S56" s="45"/>
      <c r="T56" s="45"/>
      <c r="U56" s="45"/>
      <c r="V56" s="45"/>
      <c r="W56" s="45"/>
      <c r="X56" s="45"/>
      <c r="Y56" s="45"/>
      <c r="Z56" s="45"/>
      <c r="AA56" s="45"/>
      <c r="AB56" s="45"/>
    </row>
    <row r="57" spans="1:28" s="59" customFormat="1" ht="25.5" customHeight="1">
      <c r="A57" s="45"/>
      <c r="B57" s="791"/>
      <c r="C57" s="727"/>
      <c r="D57" s="731"/>
      <c r="E57" s="1049"/>
      <c r="F57" s="149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5"/>
      <c r="H57" s="1495"/>
      <c r="I57" s="1495"/>
      <c r="J57" s="1495"/>
      <c r="K57" s="1495"/>
      <c r="L57" s="1495"/>
      <c r="M57" s="1495"/>
      <c r="N57" s="1495"/>
      <c r="O57" s="749"/>
      <c r="P57" s="45"/>
      <c r="Q57" s="45"/>
      <c r="R57" s="45"/>
      <c r="S57" s="45"/>
      <c r="T57" s="45"/>
      <c r="U57" s="45"/>
      <c r="V57" s="45"/>
      <c r="W57" s="45"/>
      <c r="X57" s="45"/>
      <c r="Y57" s="45"/>
      <c r="Z57" s="45"/>
      <c r="AA57" s="45"/>
      <c r="AB57" s="45"/>
    </row>
    <row r="58" spans="1:28" s="59" customFormat="1" ht="12.75" customHeight="1">
      <c r="A58" s="45"/>
      <c r="B58" s="791"/>
      <c r="C58" s="727"/>
      <c r="D58" s="731"/>
      <c r="E58" s="1049"/>
      <c r="F58" s="1495" t="str">
        <f>Translations!$B$601</f>
        <v>Šie veiklai būdingi sukėliklių tipai gali būti susiję su proceso metu išsiskiriančiomis ŠESD arba – tam tikrais atvejais – su taikytinais masės balanso metodais.</v>
      </c>
      <c r="G58" s="1495"/>
      <c r="H58" s="1495"/>
      <c r="I58" s="1495"/>
      <c r="J58" s="1495"/>
      <c r="K58" s="1495"/>
      <c r="L58" s="1495"/>
      <c r="M58" s="1495"/>
      <c r="N58" s="1495"/>
      <c r="O58" s="749"/>
      <c r="P58" s="45"/>
      <c r="Q58" s="45"/>
      <c r="R58" s="45"/>
      <c r="S58" s="45"/>
      <c r="T58" s="45"/>
      <c r="U58" s="45"/>
      <c r="V58" s="45"/>
      <c r="W58" s="45"/>
      <c r="X58" s="45"/>
      <c r="Y58" s="45"/>
      <c r="Z58" s="45"/>
      <c r="AA58" s="45"/>
      <c r="AB58" s="45"/>
    </row>
    <row r="59" spans="1:28" s="59" customFormat="1" ht="12.75" customHeight="1">
      <c r="A59" s="45"/>
      <c r="B59" s="791"/>
      <c r="C59" s="727"/>
      <c r="D59" s="731"/>
      <c r="E59" s="241" t="s">
        <v>472</v>
      </c>
      <c r="F59" s="1494" t="str">
        <f>Translations!$B$602</f>
        <v>Iš išskleidžiamojo sąrašo pasirinkite sukėliklio kategoriją.</v>
      </c>
      <c r="G59" s="1494"/>
      <c r="H59" s="1494"/>
      <c r="I59" s="1494"/>
      <c r="J59" s="1494"/>
      <c r="K59" s="1494"/>
      <c r="L59" s="1494"/>
      <c r="M59" s="1494"/>
      <c r="N59" s="1494"/>
      <c r="O59" s="754"/>
      <c r="P59" s="214"/>
      <c r="Q59" s="214"/>
      <c r="R59" s="45"/>
      <c r="S59" s="45"/>
      <c r="T59" s="45"/>
      <c r="U59" s="45"/>
      <c r="V59" s="45"/>
      <c r="W59" s="45"/>
      <c r="X59" s="45"/>
      <c r="Y59" s="45"/>
      <c r="Z59" s="45"/>
      <c r="AA59" s="45"/>
      <c r="AB59" s="45"/>
    </row>
    <row r="60" spans="1:28" s="59" customFormat="1" ht="25.5" customHeight="1">
      <c r="A60" s="45"/>
      <c r="B60" s="791"/>
      <c r="C60" s="727"/>
      <c r="D60" s="731"/>
      <c r="E60" s="209"/>
      <c r="F60" s="1494" t="str">
        <f>Translations!$B$603</f>
        <v>Sukėliklio kategorija priklauso nuo pasirinkto sukėliklio tipo ir gali būti, pvz., „dujinis – gamtinės dujos“, „skystasis – sunkusis mazutas“, „medžiaginis – žaliavinis mišinys“ ir t. t.</v>
      </c>
      <c r="G60" s="1494"/>
      <c r="H60" s="1494"/>
      <c r="I60" s="1494"/>
      <c r="J60" s="1494"/>
      <c r="K60" s="1494"/>
      <c r="L60" s="1494"/>
      <c r="M60" s="1494"/>
      <c r="N60" s="1494"/>
      <c r="O60" s="754"/>
      <c r="P60" s="214"/>
      <c r="Q60" s="214"/>
      <c r="R60" s="45"/>
      <c r="S60" s="45"/>
      <c r="T60" s="45"/>
      <c r="U60" s="45"/>
      <c r="V60" s="45"/>
      <c r="W60" s="45"/>
      <c r="X60" s="45"/>
      <c r="Y60" s="45"/>
      <c r="Z60" s="45"/>
      <c r="AA60" s="45"/>
      <c r="AB60" s="45"/>
    </row>
    <row r="61" spans="1:28" s="59" customFormat="1" ht="25.5" customHeight="1">
      <c r="A61" s="45"/>
      <c r="B61" s="791"/>
      <c r="C61" s="727"/>
      <c r="D61" s="731"/>
      <c r="E61" s="209"/>
      <c r="F61" s="149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5"/>
      <c r="H61" s="1495"/>
      <c r="I61" s="1495"/>
      <c r="J61" s="1495"/>
      <c r="K61" s="1495"/>
      <c r="L61" s="1495"/>
      <c r="M61" s="1495"/>
      <c r="N61" s="1495"/>
      <c r="O61" s="1106"/>
      <c r="P61" s="214"/>
      <c r="Q61" s="214"/>
      <c r="R61" s="45"/>
      <c r="S61" s="45"/>
      <c r="T61" s="45"/>
      <c r="U61" s="45"/>
      <c r="V61" s="45"/>
      <c r="W61" s="45"/>
      <c r="X61" s="45"/>
      <c r="Y61" s="45"/>
      <c r="Z61" s="45"/>
      <c r="AA61" s="45"/>
      <c r="AB61" s="45"/>
    </row>
    <row r="62" spans="1:28" s="59" customFormat="1" ht="12.75" customHeight="1">
      <c r="A62" s="45"/>
      <c r="B62" s="791"/>
      <c r="C62" s="727"/>
      <c r="D62" s="731"/>
      <c r="E62" s="241" t="s">
        <v>474</v>
      </c>
      <c r="F62" s="1494" t="str">
        <f>Translations!$B$605</f>
        <v>Jeigu taikytina, įveskite sukėliklio pavadinimą.</v>
      </c>
      <c r="G62" s="1494"/>
      <c r="H62" s="1494"/>
      <c r="I62" s="1494"/>
      <c r="J62" s="1494"/>
      <c r="K62" s="1494"/>
      <c r="L62" s="1494"/>
      <c r="M62" s="1494"/>
      <c r="N62" s="1494"/>
      <c r="O62" s="754"/>
      <c r="P62" s="214"/>
      <c r="Q62" s="214"/>
      <c r="R62" s="45"/>
      <c r="S62" s="45"/>
      <c r="T62" s="45"/>
      <c r="U62" s="45"/>
      <c r="V62" s="45"/>
      <c r="W62" s="45"/>
      <c r="X62" s="45"/>
      <c r="Y62" s="45"/>
      <c r="Z62" s="45"/>
      <c r="AA62" s="45"/>
      <c r="AB62" s="45"/>
    </row>
    <row r="63" spans="1:28" s="59" customFormat="1" ht="25.5" customHeight="1">
      <c r="A63" s="45"/>
      <c r="B63" s="791"/>
      <c r="C63" s="727"/>
      <c r="D63" s="731"/>
      <c r="E63" s="209"/>
      <c r="F63" s="1494"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4"/>
      <c r="H63" s="1494"/>
      <c r="I63" s="1494"/>
      <c r="J63" s="1494"/>
      <c r="K63" s="1494"/>
      <c r="L63" s="1494"/>
      <c r="M63" s="1494"/>
      <c r="N63" s="1494"/>
      <c r="O63" s="1106"/>
      <c r="P63" s="214"/>
      <c r="Q63" s="214"/>
      <c r="R63" s="45"/>
      <c r="S63" s="45"/>
      <c r="T63" s="45"/>
      <c r="U63" s="45"/>
      <c r="V63" s="45"/>
      <c r="W63" s="45"/>
      <c r="X63" s="45"/>
      <c r="Y63" s="45"/>
      <c r="Z63" s="45"/>
      <c r="AA63" s="45"/>
      <c r="AB63" s="45"/>
    </row>
    <row r="64" spans="1:28" s="59" customFormat="1" ht="12.75" customHeight="1">
      <c r="A64" s="45"/>
      <c r="B64" s="791"/>
      <c r="C64" s="727"/>
      <c r="D64" s="731"/>
      <c r="E64" s="1495" t="str">
        <f>Translations!$B$607</f>
        <v>Svarbu! Nuoseklumo sumetimais sukėliklius įveskite tokia pat eilės tvarka, kaip pateikta Jūsų naujausiame patvirtintame stebėsenos plane (tokia pat eilės tvarka ir naudodami tokius pat identifikatorius).</v>
      </c>
      <c r="F64" s="1495"/>
      <c r="G64" s="1495"/>
      <c r="H64" s="1495"/>
      <c r="I64" s="1495"/>
      <c r="J64" s="1495"/>
      <c r="K64" s="1495"/>
      <c r="L64" s="1495"/>
      <c r="M64" s="1495"/>
      <c r="N64" s="1495"/>
      <c r="O64" s="1106"/>
      <c r="P64" s="214"/>
      <c r="Q64" s="214"/>
      <c r="R64" s="45"/>
      <c r="S64" s="45"/>
      <c r="T64" s="45"/>
      <c r="U64" s="45"/>
      <c r="V64" s="45"/>
      <c r="W64" s="45"/>
      <c r="X64" s="45"/>
      <c r="Y64" s="45"/>
      <c r="Z64" s="45"/>
      <c r="AA64" s="45"/>
      <c r="AB64" s="45"/>
    </row>
    <row r="65" spans="1:28" s="59" customFormat="1" ht="5.0999999999999996" customHeight="1">
      <c r="A65" s="45"/>
      <c r="B65" s="791"/>
      <c r="C65" s="727"/>
      <c r="D65" s="731"/>
      <c r="E65" s="206"/>
      <c r="F65" s="206"/>
      <c r="G65" s="792"/>
      <c r="H65" s="206"/>
      <c r="I65" s="206"/>
      <c r="J65" s="206"/>
      <c r="K65" s="206"/>
      <c r="L65" s="206"/>
      <c r="M65" s="206"/>
      <c r="N65" s="206"/>
      <c r="O65" s="747"/>
      <c r="P65" s="45"/>
      <c r="Q65" s="45"/>
      <c r="R65" s="45"/>
      <c r="S65" s="45"/>
      <c r="T65" s="45"/>
      <c r="U65" s="45"/>
      <c r="V65" s="45"/>
      <c r="W65" s="45"/>
      <c r="X65" s="45"/>
      <c r="Y65" s="45"/>
      <c r="Z65" s="45"/>
      <c r="AA65" s="45"/>
      <c r="AB65" s="45"/>
    </row>
    <row r="66" spans="1:28" s="59" customFormat="1" ht="36.6" customHeight="1">
      <c r="A66" s="45"/>
      <c r="B66" s="791"/>
      <c r="C66" s="727"/>
      <c r="D66" s="211" t="str">
        <f>Translations!$B$608</f>
        <v>Identifikatorius</v>
      </c>
      <c r="E66" s="1487" t="str">
        <f>Translations!$B$130</f>
        <v>Sukėliklio tipas</v>
      </c>
      <c r="F66" s="1488"/>
      <c r="G66" s="1488"/>
      <c r="H66" s="1489"/>
      <c r="I66" s="1487" t="str">
        <f>Translations!$B$609</f>
        <v>Sukėliklio kategorija</v>
      </c>
      <c r="J66" s="1488"/>
      <c r="K66" s="1489"/>
      <c r="L66" s="1487" t="str">
        <f>Translations!$B$129</f>
        <v>Sukėliklio pavadinimas</v>
      </c>
      <c r="M66" s="1489"/>
      <c r="N66" s="1158" t="str">
        <f>Translations!$B$610</f>
        <v>klaida</v>
      </c>
      <c r="O66" s="1160"/>
      <c r="P66" s="45"/>
      <c r="Q66" s="214"/>
      <c r="R66" s="45"/>
      <c r="S66" s="45"/>
      <c r="T66" s="45"/>
      <c r="U66" s="45"/>
      <c r="V66" s="45"/>
      <c r="W66" s="45"/>
      <c r="X66" s="45"/>
      <c r="Y66" s="45"/>
      <c r="Z66" s="45"/>
      <c r="AA66" s="45"/>
      <c r="AB66" s="45"/>
    </row>
    <row r="67" spans="1:28" s="59" customFormat="1" ht="12.75" customHeight="1">
      <c r="A67" s="47" t="s">
        <v>278</v>
      </c>
      <c r="B67" s="791"/>
      <c r="C67" s="727"/>
      <c r="D67" s="149" t="s">
        <v>603</v>
      </c>
      <c r="E67" s="1481" t="str">
        <f>Translations!$B$132</f>
        <v>Cemento klinkeris: Grindžiamas krosnies žaliava (A metodas)</v>
      </c>
      <c r="F67" s="1482"/>
      <c r="G67" s="1482"/>
      <c r="H67" s="1483"/>
      <c r="I67" s="1484" t="str">
        <f>Translations!$B$131</f>
        <v>Žaliavinis mišinys</v>
      </c>
      <c r="J67" s="1485"/>
      <c r="K67" s="1486"/>
      <c r="L67" s="1490"/>
      <c r="M67" s="1491"/>
      <c r="N67" s="1158"/>
      <c r="O67" s="1160"/>
      <c r="P67" s="45"/>
      <c r="Q67" s="45"/>
      <c r="R67" s="45"/>
      <c r="S67" s="45"/>
      <c r="T67" s="45"/>
      <c r="U67" s="45"/>
      <c r="V67" s="45"/>
      <c r="W67" s="45"/>
      <c r="X67" s="45"/>
      <c r="Y67" s="47" t="s">
        <v>224</v>
      </c>
      <c r="Z67" s="47" t="s">
        <v>227</v>
      </c>
      <c r="AA67" s="45"/>
      <c r="AB67" s="45"/>
    </row>
    <row r="68" spans="1:28" s="59" customFormat="1" ht="12.75" customHeight="1">
      <c r="A68" s="47" t="s">
        <v>278</v>
      </c>
      <c r="B68" s="791"/>
      <c r="C68" s="727"/>
      <c r="D68" s="149" t="s">
        <v>604</v>
      </c>
      <c r="E68" s="1481" t="str">
        <f>Translations!$B$134</f>
        <v>Degimas: Kitas dujinis ir skystasis kuras</v>
      </c>
      <c r="F68" s="1482"/>
      <c r="G68" s="1482"/>
      <c r="H68" s="1483"/>
      <c r="I68" s="1484" t="str">
        <f>Translations!$B$133</f>
        <v>Mazutas</v>
      </c>
      <c r="J68" s="1485"/>
      <c r="K68" s="1486"/>
      <c r="L68" s="1490"/>
      <c r="M68" s="1491"/>
      <c r="N68" s="1158"/>
      <c r="O68" s="1160"/>
      <c r="P68" s="45"/>
      <c r="Q68" s="45"/>
      <c r="R68" s="47" t="s">
        <v>600</v>
      </c>
      <c r="S68" s="45"/>
      <c r="T68" s="45"/>
      <c r="U68" s="45"/>
      <c r="V68" s="234" t="s">
        <v>475</v>
      </c>
      <c r="W68" s="47" t="s">
        <v>476</v>
      </c>
      <c r="X68" s="45"/>
      <c r="Y68" s="335" t="s">
        <v>225</v>
      </c>
      <c r="Z68" s="334" t="s">
        <v>234</v>
      </c>
      <c r="AA68" s="45"/>
      <c r="AB68" s="45"/>
    </row>
    <row r="69" spans="1:28" s="59" customFormat="1" ht="12.75" customHeight="1">
      <c r="A69" s="47" t="s">
        <v>278</v>
      </c>
      <c r="B69" s="791"/>
      <c r="C69" s="727"/>
      <c r="D69" s="149" t="s">
        <v>605</v>
      </c>
      <c r="E69" s="1481" t="str">
        <f>Translations!$B$134</f>
        <v>Degimas: Kitas dujinis ir skystasis kuras</v>
      </c>
      <c r="F69" s="1482"/>
      <c r="G69" s="1482"/>
      <c r="H69" s="1483"/>
      <c r="I69" s="1484" t="str">
        <f>Translations!$B$611</f>
        <v>Kitos dujos</v>
      </c>
      <c r="J69" s="1485"/>
      <c r="K69" s="1486"/>
      <c r="L69" s="1492" t="str">
        <f>Translations!$B$612</f>
        <v>Proceso metu išsiskiriančios dujos</v>
      </c>
      <c r="M69" s="1493"/>
      <c r="N69" s="1158"/>
      <c r="O69" s="1160"/>
      <c r="P69" s="45"/>
      <c r="Q69" s="45"/>
      <c r="R69" s="45"/>
      <c r="S69" s="45"/>
      <c r="T69" s="45"/>
      <c r="U69" s="45"/>
      <c r="V69" s="234"/>
      <c r="W69" s="45"/>
      <c r="X69" s="45"/>
      <c r="Y69" s="335"/>
      <c r="Z69" s="334"/>
      <c r="AA69" s="45"/>
      <c r="AB69" s="45"/>
    </row>
    <row r="70" spans="1:28" s="59" customFormat="1" ht="12.75" customHeight="1" thickBot="1">
      <c r="A70" s="47" t="s">
        <v>278</v>
      </c>
      <c r="B70" s="791"/>
      <c r="C70" s="727"/>
      <c r="D70" s="149" t="s">
        <v>606</v>
      </c>
      <c r="E70" s="1481" t="str">
        <f>Translations!$B$613</f>
        <v>Geležis ir plienas: masės balanso metodas</v>
      </c>
      <c r="F70" s="1482"/>
      <c r="G70" s="1482"/>
      <c r="H70" s="1483"/>
      <c r="I70" s="1484" t="str">
        <f>Translations!$B$614</f>
        <v>Metalo laužas</v>
      </c>
      <c r="J70" s="1485"/>
      <c r="K70" s="1486"/>
      <c r="L70" s="1490"/>
      <c r="M70" s="1491"/>
      <c r="N70" s="1158"/>
      <c r="O70" s="1160"/>
      <c r="P70" s="45"/>
      <c r="Q70" s="45"/>
      <c r="R70" s="45"/>
      <c r="S70" s="45"/>
      <c r="T70" s="45"/>
      <c r="U70" s="45"/>
      <c r="V70" s="234"/>
      <c r="W70" s="45"/>
      <c r="X70" s="45"/>
      <c r="Y70" s="335"/>
      <c r="Z70" s="334"/>
      <c r="AA70" s="45"/>
      <c r="AB70" s="45"/>
    </row>
    <row r="71" spans="1:28" s="59" customFormat="1">
      <c r="A71" s="45"/>
      <c r="B71" s="791"/>
      <c r="C71" s="727"/>
      <c r="D71" s="64" t="s">
        <v>102</v>
      </c>
      <c r="E71" s="1475" t="s">
        <v>1392</v>
      </c>
      <c r="F71" s="1476"/>
      <c r="G71" s="1476"/>
      <c r="H71" s="1477"/>
      <c r="I71" s="1478" t="s">
        <v>1074</v>
      </c>
      <c r="J71" s="1479"/>
      <c r="K71" s="1480"/>
      <c r="L71" s="1475" t="s">
        <v>1815</v>
      </c>
      <c r="M71" s="1477"/>
      <c r="N71" s="1159" t="str">
        <f t="shared" ref="N71:N102" si="1">IF(R71=TRUE,EUconst_ERR_Inconsistent,IF(E71="","",IF(OR(AND($V71=FALSE,COUNTA(E71:M71)&lt;3),AND($V71=TRUE,COUNTA(E71:K71)&lt;2)),EUconst_ERR_Incomplete,"")))</f>
        <v/>
      </c>
      <c r="O71" s="1160"/>
      <c r="P71" s="47"/>
      <c r="Q71" s="45"/>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5"/>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 Gamtinės dujos</v>
      </c>
      <c r="Y71" s="354" t="str">
        <f t="shared" ref="Y71:Y102" si="8">IF(ISBLANK(I71),EUconst_NA,D71&amp;". "&amp;I71 &amp;IF(ISBLANK(L71),"","; " &amp; L71))</f>
        <v>F1. Dujinis – Gamtinės dujos; Gamtinės dujos</v>
      </c>
      <c r="Z71" s="221" t="str">
        <f>IF(E71="","",IF(MATCH(E71,EUConst_TierActivityListNames,0)&gt;40,MAX(Z$68:Z68)+1,""))</f>
        <v/>
      </c>
      <c r="AA71" s="45"/>
      <c r="AB71" s="219" t="b">
        <f>L49=EUconst_NotRelevant</f>
        <v>0</v>
      </c>
    </row>
    <row r="72" spans="1:28" s="59" customFormat="1" ht="12.75" customHeight="1">
      <c r="A72" s="45"/>
      <c r="B72" s="791"/>
      <c r="C72" s="727"/>
      <c r="D72" s="64" t="s">
        <v>103</v>
      </c>
      <c r="E72" s="1475" t="s">
        <v>1392</v>
      </c>
      <c r="F72" s="1476"/>
      <c r="G72" s="1476"/>
      <c r="H72" s="1477"/>
      <c r="I72" s="1478" t="s">
        <v>1095</v>
      </c>
      <c r="J72" s="1479"/>
      <c r="K72" s="1480"/>
      <c r="L72" s="1475" t="s">
        <v>1816</v>
      </c>
      <c r="M72" s="1477"/>
      <c r="N72" s="1159" t="str">
        <f t="shared" si="1"/>
        <v/>
      </c>
      <c r="O72" s="1160"/>
      <c r="P72" s="217"/>
      <c r="Q72" s="45"/>
      <c r="R72" s="219" t="b">
        <f t="shared" si="2"/>
        <v>0</v>
      </c>
      <c r="S72" s="219" t="str">
        <f t="shared" si="3"/>
        <v>SourceStreamName_Skystasis – Dujos ir (arba) dyzelinas</v>
      </c>
      <c r="T72" s="219" t="str">
        <f t="shared" si="4"/>
        <v>SourceStreamClass_Degimas: Kitas dujinis ir skystasis kuras</v>
      </c>
      <c r="U72" s="45"/>
      <c r="V72" s="220" t="b">
        <f t="shared" si="5"/>
        <v>0</v>
      </c>
      <c r="W72" s="219" t="str">
        <f t="shared" ca="1" si="6"/>
        <v>MSParameters!$G$19:$AU$19</v>
      </c>
      <c r="X72" s="638" t="str">
        <f t="shared" si="7"/>
        <v>Degimas: Kitas dujinis ir skystasis kuras; Skystasis – Dujos ir (arba) dyzelinas; Dyzelinis krosnių kuras</v>
      </c>
      <c r="Y72" s="355" t="str">
        <f t="shared" si="8"/>
        <v>F2. Skystasis – Dujos ir (arba) dyzelinas; Dyzelinis krosnių kuras</v>
      </c>
      <c r="Z72" s="223" t="str">
        <f>IF(E72="","",IF(MATCH(E72,EUConst_TierActivityListNames,0)&gt;40,MAX(Z$68:Z71)+1,""))</f>
        <v/>
      </c>
      <c r="AA72" s="45"/>
      <c r="AB72" s="219" t="b">
        <f>AB71</f>
        <v>0</v>
      </c>
    </row>
    <row r="73" spans="1:28" s="59" customFormat="1">
      <c r="A73" s="45"/>
      <c r="B73" s="791"/>
      <c r="C73" s="727"/>
      <c r="D73" s="64" t="s">
        <v>104</v>
      </c>
      <c r="E73" s="1475" t="s">
        <v>1817</v>
      </c>
      <c r="F73" s="1476"/>
      <c r="G73" s="1476"/>
      <c r="H73" s="1477"/>
      <c r="I73" s="1478" t="s">
        <v>1127</v>
      </c>
      <c r="J73" s="1479"/>
      <c r="K73" s="1480"/>
      <c r="L73" s="1475" t="s">
        <v>1818</v>
      </c>
      <c r="M73" s="1477"/>
      <c r="N73" s="1159" t="str">
        <f t="shared" si="1"/>
        <v/>
      </c>
      <c r="O73" s="1160"/>
      <c r="P73" s="45"/>
      <c r="Q73" s="45"/>
      <c r="R73" s="219" t="b">
        <f t="shared" si="2"/>
        <v>0</v>
      </c>
      <c r="S73" s="219" t="str">
        <f t="shared" si="3"/>
        <v>SourceStreamName_Kietasis – Mediena (ne atliekos)</v>
      </c>
      <c r="T73" s="219" t="str">
        <f t="shared" si="4"/>
        <v>SourceStreamClass_Degimas: Kietasis kuras</v>
      </c>
      <c r="U73" s="45"/>
      <c r="V73" s="220" t="b">
        <f t="shared" si="5"/>
        <v>0</v>
      </c>
      <c r="W73" s="219" t="str">
        <f t="shared" ca="1" si="6"/>
        <v>MSParameters!$G$20:$AG$20</v>
      </c>
      <c r="X73" s="638" t="str">
        <f t="shared" si="7"/>
        <v>Degimas: Kietasis kuras; Kietasis – Mediena (ne atliekos); Medienos skiedros</v>
      </c>
      <c r="Y73" s="355" t="str">
        <f t="shared" si="8"/>
        <v>F3. Kietasis – Mediena (ne atliekos); Medienos skiedros</v>
      </c>
      <c r="Z73" s="223" t="str">
        <f>IF(E73="","",IF(MATCH(E73,EUConst_TierActivityListNames,0)&gt;40,MAX(Z$68:Z72)+1,""))</f>
        <v/>
      </c>
      <c r="AA73" s="45"/>
      <c r="AB73" s="219" t="b">
        <f t="shared" ref="AB73:AB119" si="9">AB72</f>
        <v>0</v>
      </c>
    </row>
    <row r="74" spans="1:28" s="59" customFormat="1" ht="12.75" customHeight="1">
      <c r="A74" s="45"/>
      <c r="B74" s="791"/>
      <c r="C74" s="727"/>
      <c r="D74" s="64" t="s">
        <v>105</v>
      </c>
      <c r="E74" s="1475"/>
      <c r="F74" s="1476"/>
      <c r="G74" s="1476"/>
      <c r="H74" s="1477"/>
      <c r="I74" s="1478"/>
      <c r="J74" s="1479"/>
      <c r="K74" s="1480"/>
      <c r="L74" s="1475"/>
      <c r="M74" s="1477"/>
      <c r="N74" s="1159" t="str">
        <f t="shared" si="1"/>
        <v/>
      </c>
      <c r="O74" s="1160"/>
      <c r="P74" s="45"/>
      <c r="Q74" s="45"/>
      <c r="R74" s="219" t="b">
        <f t="shared" si="2"/>
        <v>0</v>
      </c>
      <c r="S74" s="219" t="str">
        <f t="shared" si="3"/>
        <v>SourceStreamName_</v>
      </c>
      <c r="T74" s="219" t="str">
        <f t="shared" si="4"/>
        <v>SourceStreamClass_</v>
      </c>
      <c r="U74" s="45"/>
      <c r="V74" s="220" t="b">
        <f t="shared" si="5"/>
        <v>0</v>
      </c>
      <c r="W74" s="219" t="str">
        <f t="shared" si="6"/>
        <v/>
      </c>
      <c r="X74" s="638" t="str">
        <f t="shared" si="7"/>
        <v/>
      </c>
      <c r="Y74" s="355" t="str">
        <f t="shared" si="8"/>
        <v>netaik.</v>
      </c>
      <c r="Z74" s="223" t="str">
        <f>IF(E74="","",IF(MATCH(E74,EUConst_TierActivityListNames,0)&gt;40,MAX(Z$68:Z73)+1,""))</f>
        <v/>
      </c>
      <c r="AA74" s="45"/>
      <c r="AB74" s="219" t="b">
        <f t="shared" si="9"/>
        <v>0</v>
      </c>
    </row>
    <row r="75" spans="1:28" s="59" customFormat="1">
      <c r="A75" s="45"/>
      <c r="B75" s="791"/>
      <c r="C75" s="727"/>
      <c r="D75" s="64" t="s">
        <v>106</v>
      </c>
      <c r="E75" s="1475"/>
      <c r="F75" s="1476"/>
      <c r="G75" s="1476"/>
      <c r="H75" s="1477"/>
      <c r="I75" s="1478"/>
      <c r="J75" s="1479"/>
      <c r="K75" s="1480"/>
      <c r="L75" s="1475"/>
      <c r="M75" s="1477"/>
      <c r="N75" s="1159" t="str">
        <f t="shared" si="1"/>
        <v/>
      </c>
      <c r="O75" s="1160"/>
      <c r="P75" s="45"/>
      <c r="Q75" s="45"/>
      <c r="R75" s="219" t="b">
        <f t="shared" si="2"/>
        <v>0</v>
      </c>
      <c r="S75" s="219" t="str">
        <f t="shared" si="3"/>
        <v>SourceStreamName_</v>
      </c>
      <c r="T75" s="219" t="str">
        <f t="shared" si="4"/>
        <v>SourceStreamClass_</v>
      </c>
      <c r="U75" s="45"/>
      <c r="V75" s="220" t="b">
        <f t="shared" si="5"/>
        <v>0</v>
      </c>
      <c r="W75" s="219" t="str">
        <f t="shared" si="6"/>
        <v/>
      </c>
      <c r="X75" s="638" t="str">
        <f t="shared" si="7"/>
        <v/>
      </c>
      <c r="Y75" s="355" t="str">
        <f t="shared" si="8"/>
        <v>netaik.</v>
      </c>
      <c r="Z75" s="223" t="str">
        <f>IF(E75="","",IF(MATCH(E75,EUConst_TierActivityListNames,0)&gt;40,MAX(Z$68:Z74)+1,""))</f>
        <v/>
      </c>
      <c r="AA75" s="45"/>
      <c r="AB75" s="219" t="b">
        <f t="shared" si="9"/>
        <v>0</v>
      </c>
    </row>
    <row r="76" spans="1:28" s="59" customFormat="1">
      <c r="A76" s="45"/>
      <c r="B76" s="791"/>
      <c r="C76" s="727"/>
      <c r="D76" s="64" t="s">
        <v>45</v>
      </c>
      <c r="E76" s="1475"/>
      <c r="F76" s="1476"/>
      <c r="G76" s="1476"/>
      <c r="H76" s="1477"/>
      <c r="I76" s="1478"/>
      <c r="J76" s="1479"/>
      <c r="K76" s="1480"/>
      <c r="L76" s="1475"/>
      <c r="M76" s="1477"/>
      <c r="N76" s="1159" t="str">
        <f t="shared" si="1"/>
        <v/>
      </c>
      <c r="O76" s="1160"/>
      <c r="P76" s="45"/>
      <c r="Q76" s="45"/>
      <c r="R76" s="219" t="b">
        <f t="shared" si="2"/>
        <v>0</v>
      </c>
      <c r="S76" s="219" t="str">
        <f t="shared" si="3"/>
        <v>SourceStreamName_</v>
      </c>
      <c r="T76" s="219" t="str">
        <f t="shared" si="4"/>
        <v>SourceStreamClass_</v>
      </c>
      <c r="U76" s="45"/>
      <c r="V76" s="220" t="b">
        <f t="shared" si="5"/>
        <v>0</v>
      </c>
      <c r="W76" s="219" t="str">
        <f t="shared" si="6"/>
        <v/>
      </c>
      <c r="X76" s="638" t="str">
        <f t="shared" si="7"/>
        <v/>
      </c>
      <c r="Y76" s="355" t="str">
        <f t="shared" si="8"/>
        <v>netaik.</v>
      </c>
      <c r="Z76" s="223" t="str">
        <f>IF(E76="","",IF(MATCH(E76,EUConst_TierActivityListNames,0)&gt;40,MAX(Z$68:Z75)+1,""))</f>
        <v/>
      </c>
      <c r="AA76" s="45"/>
      <c r="AB76" s="219" t="b">
        <f t="shared" si="9"/>
        <v>0</v>
      </c>
    </row>
    <row r="77" spans="1:28" s="59" customFormat="1">
      <c r="A77" s="45"/>
      <c r="B77" s="791"/>
      <c r="C77" s="727"/>
      <c r="D77" s="64" t="s">
        <v>46</v>
      </c>
      <c r="E77" s="1475"/>
      <c r="F77" s="1476"/>
      <c r="G77" s="1476"/>
      <c r="H77" s="1477"/>
      <c r="I77" s="1478"/>
      <c r="J77" s="1479"/>
      <c r="K77" s="1480"/>
      <c r="L77" s="1475"/>
      <c r="M77" s="1477"/>
      <c r="N77" s="1159" t="str">
        <f t="shared" si="1"/>
        <v/>
      </c>
      <c r="O77" s="1160"/>
      <c r="P77" s="45"/>
      <c r="Q77" s="45"/>
      <c r="R77" s="219" t="b">
        <f t="shared" si="2"/>
        <v>0</v>
      </c>
      <c r="S77" s="219" t="str">
        <f t="shared" si="3"/>
        <v>SourceStreamName_</v>
      </c>
      <c r="T77" s="219" t="str">
        <f t="shared" si="4"/>
        <v>SourceStreamClass_</v>
      </c>
      <c r="U77" s="45"/>
      <c r="V77" s="220" t="b">
        <f t="shared" si="5"/>
        <v>0</v>
      </c>
      <c r="W77" s="219" t="str">
        <f t="shared" si="6"/>
        <v/>
      </c>
      <c r="X77" s="638" t="str">
        <f t="shared" si="7"/>
        <v/>
      </c>
      <c r="Y77" s="355" t="str">
        <f t="shared" si="8"/>
        <v>netaik.</v>
      </c>
      <c r="Z77" s="223" t="str">
        <f>IF(E77="","",IF(MATCH(E77,EUConst_TierActivityListNames,0)&gt;40,MAX(Z$68:Z76)+1,""))</f>
        <v/>
      </c>
      <c r="AA77" s="45"/>
      <c r="AB77" s="219" t="b">
        <f t="shared" si="9"/>
        <v>0</v>
      </c>
    </row>
    <row r="78" spans="1:28" s="59" customFormat="1">
      <c r="A78" s="45"/>
      <c r="B78" s="791"/>
      <c r="C78" s="727"/>
      <c r="D78" s="64" t="s">
        <v>47</v>
      </c>
      <c r="E78" s="1475"/>
      <c r="F78" s="1476"/>
      <c r="G78" s="1476"/>
      <c r="H78" s="1477"/>
      <c r="I78" s="1478"/>
      <c r="J78" s="1479"/>
      <c r="K78" s="1480"/>
      <c r="L78" s="1475"/>
      <c r="M78" s="1477"/>
      <c r="N78" s="1159" t="str">
        <f t="shared" si="1"/>
        <v/>
      </c>
      <c r="O78" s="1160"/>
      <c r="P78" s="45"/>
      <c r="Q78" s="45"/>
      <c r="R78" s="219" t="b">
        <f t="shared" si="2"/>
        <v>0</v>
      </c>
      <c r="S78" s="219" t="str">
        <f t="shared" si="3"/>
        <v>SourceStreamName_</v>
      </c>
      <c r="T78" s="219" t="str">
        <f t="shared" si="4"/>
        <v>SourceStreamClass_</v>
      </c>
      <c r="U78" s="45"/>
      <c r="V78" s="220" t="b">
        <f t="shared" si="5"/>
        <v>0</v>
      </c>
      <c r="W78" s="219" t="str">
        <f t="shared" si="6"/>
        <v/>
      </c>
      <c r="X78" s="638" t="str">
        <f t="shared" si="7"/>
        <v/>
      </c>
      <c r="Y78" s="355" t="str">
        <f t="shared" si="8"/>
        <v>netaik.</v>
      </c>
      <c r="Z78" s="223" t="str">
        <f>IF(E78="","",IF(MATCH(E78,EUConst_TierActivityListNames,0)&gt;40,MAX(Z$68:Z77)+1,""))</f>
        <v/>
      </c>
      <c r="AA78" s="45"/>
      <c r="AB78" s="219" t="b">
        <f t="shared" si="9"/>
        <v>0</v>
      </c>
    </row>
    <row r="79" spans="1:28" s="59" customFormat="1">
      <c r="A79" s="45"/>
      <c r="B79" s="791"/>
      <c r="C79" s="727"/>
      <c r="D79" s="64" t="s">
        <v>48</v>
      </c>
      <c r="E79" s="1475"/>
      <c r="F79" s="1476"/>
      <c r="G79" s="1476"/>
      <c r="H79" s="1477"/>
      <c r="I79" s="1478"/>
      <c r="J79" s="1479"/>
      <c r="K79" s="1480"/>
      <c r="L79" s="1475"/>
      <c r="M79" s="1477"/>
      <c r="N79" s="1159" t="str">
        <f t="shared" si="1"/>
        <v/>
      </c>
      <c r="O79" s="1160"/>
      <c r="P79" s="45"/>
      <c r="Q79" s="45"/>
      <c r="R79" s="219" t="b">
        <f t="shared" si="2"/>
        <v>0</v>
      </c>
      <c r="S79" s="219" t="str">
        <f t="shared" si="3"/>
        <v>SourceStreamName_</v>
      </c>
      <c r="T79" s="219" t="str">
        <f t="shared" si="4"/>
        <v>SourceStreamClass_</v>
      </c>
      <c r="U79" s="45"/>
      <c r="V79" s="220" t="b">
        <f t="shared" si="5"/>
        <v>0</v>
      </c>
      <c r="W79" s="219" t="str">
        <f t="shared" si="6"/>
        <v/>
      </c>
      <c r="X79" s="638" t="str">
        <f t="shared" si="7"/>
        <v/>
      </c>
      <c r="Y79" s="355" t="str">
        <f t="shared" si="8"/>
        <v>netaik.</v>
      </c>
      <c r="Z79" s="223" t="str">
        <f>IF(E79="","",IF(MATCH(E79,EUConst_TierActivityListNames,0)&gt;40,MAX(Z$68:Z78)+1,""))</f>
        <v/>
      </c>
      <c r="AA79" s="45"/>
      <c r="AB79" s="219" t="b">
        <f t="shared" si="9"/>
        <v>0</v>
      </c>
    </row>
    <row r="80" spans="1:28" s="59" customFormat="1">
      <c r="A80" s="45"/>
      <c r="B80" s="791"/>
      <c r="C80" s="727"/>
      <c r="D80" s="64" t="s">
        <v>49</v>
      </c>
      <c r="E80" s="1475"/>
      <c r="F80" s="1476"/>
      <c r="G80" s="1476"/>
      <c r="H80" s="1477"/>
      <c r="I80" s="1478"/>
      <c r="J80" s="1479"/>
      <c r="K80" s="1480"/>
      <c r="L80" s="1475"/>
      <c r="M80" s="1477"/>
      <c r="N80" s="1159" t="str">
        <f t="shared" si="1"/>
        <v/>
      </c>
      <c r="O80" s="1160"/>
      <c r="P80" s="47"/>
      <c r="Q80" s="45"/>
      <c r="R80" s="219" t="b">
        <f t="shared" si="2"/>
        <v>0</v>
      </c>
      <c r="S80" s="219" t="str">
        <f t="shared" si="3"/>
        <v>SourceStreamName_</v>
      </c>
      <c r="T80" s="219" t="str">
        <f t="shared" si="4"/>
        <v>SourceStreamClass_</v>
      </c>
      <c r="U80" s="45"/>
      <c r="V80" s="220" t="b">
        <f t="shared" si="5"/>
        <v>0</v>
      </c>
      <c r="W80" s="219" t="str">
        <f t="shared" si="6"/>
        <v/>
      </c>
      <c r="X80" s="638" t="str">
        <f t="shared" si="7"/>
        <v/>
      </c>
      <c r="Y80" s="355" t="str">
        <f t="shared" si="8"/>
        <v>netaik.</v>
      </c>
      <c r="Z80" s="223" t="str">
        <f>IF(E80="","",IF(MATCH(E80,EUConst_TierActivityListNames,0)&gt;40,MAX(Z$68:Z79)+1,""))</f>
        <v/>
      </c>
      <c r="AA80" s="45"/>
      <c r="AB80" s="219" t="b">
        <f t="shared" si="9"/>
        <v>0</v>
      </c>
    </row>
    <row r="81" spans="1:28" s="59" customFormat="1">
      <c r="A81" s="45"/>
      <c r="B81" s="791"/>
      <c r="C81" s="727"/>
      <c r="D81" s="64" t="s">
        <v>396</v>
      </c>
      <c r="E81" s="1475"/>
      <c r="F81" s="1476"/>
      <c r="G81" s="1476"/>
      <c r="H81" s="1477"/>
      <c r="I81" s="1478"/>
      <c r="J81" s="1479"/>
      <c r="K81" s="1480"/>
      <c r="L81" s="1475"/>
      <c r="M81" s="1477"/>
      <c r="N81" s="1159" t="str">
        <f t="shared" si="1"/>
        <v/>
      </c>
      <c r="O81" s="1160"/>
      <c r="P81" s="45"/>
      <c r="Q81" s="45"/>
      <c r="R81" s="219" t="b">
        <f t="shared" si="2"/>
        <v>0</v>
      </c>
      <c r="S81" s="219" t="str">
        <f t="shared" si="3"/>
        <v>SourceStreamName_</v>
      </c>
      <c r="T81" s="219" t="str">
        <f t="shared" si="4"/>
        <v>SourceStreamClass_</v>
      </c>
      <c r="U81" s="45"/>
      <c r="V81" s="220" t="b">
        <f t="shared" si="5"/>
        <v>0</v>
      </c>
      <c r="W81" s="219" t="str">
        <f t="shared" si="6"/>
        <v/>
      </c>
      <c r="X81" s="638" t="str">
        <f t="shared" si="7"/>
        <v/>
      </c>
      <c r="Y81" s="355" t="str">
        <f t="shared" si="8"/>
        <v>netaik.</v>
      </c>
      <c r="Z81" s="223" t="str">
        <f>IF(E81="","",IF(MATCH(E81,EUConst_TierActivityListNames,0)&gt;40,MAX(Z$68:Z80)+1,""))</f>
        <v/>
      </c>
      <c r="AA81" s="45"/>
      <c r="AB81" s="219" t="b">
        <f t="shared" si="9"/>
        <v>0</v>
      </c>
    </row>
    <row r="82" spans="1:28" s="59" customFormat="1" ht="6.75" hidden="1" customHeight="1">
      <c r="A82" s="45"/>
      <c r="B82" s="791"/>
      <c r="C82" s="727"/>
      <c r="D82" s="64" t="s">
        <v>397</v>
      </c>
      <c r="E82" s="1475"/>
      <c r="F82" s="1476"/>
      <c r="G82" s="1476"/>
      <c r="H82" s="1477"/>
      <c r="I82" s="1478"/>
      <c r="J82" s="1479"/>
      <c r="K82" s="1480"/>
      <c r="L82" s="1475"/>
      <c r="M82" s="1477"/>
      <c r="N82" s="1159" t="str">
        <f t="shared" si="1"/>
        <v/>
      </c>
      <c r="O82" s="1160"/>
      <c r="P82" s="45"/>
      <c r="Q82" s="45"/>
      <c r="R82" s="219" t="b">
        <f t="shared" si="2"/>
        <v>0</v>
      </c>
      <c r="S82" s="219" t="str">
        <f t="shared" si="3"/>
        <v>SourceStreamName_</v>
      </c>
      <c r="T82" s="219" t="str">
        <f t="shared" si="4"/>
        <v>SourceStreamClass_</v>
      </c>
      <c r="U82" s="45"/>
      <c r="V82" s="220" t="b">
        <f t="shared" si="5"/>
        <v>0</v>
      </c>
      <c r="W82" s="219" t="str">
        <f t="shared" si="6"/>
        <v/>
      </c>
      <c r="X82" s="638" t="str">
        <f t="shared" si="7"/>
        <v/>
      </c>
      <c r="Y82" s="355" t="str">
        <f t="shared" si="8"/>
        <v>netaik.</v>
      </c>
      <c r="Z82" s="223" t="str">
        <f>IF(E82="","",IF(MATCH(E82,EUConst_TierActivityListNames,0)&gt;40,MAX(Z$68:Z81)+1,""))</f>
        <v/>
      </c>
      <c r="AA82" s="45"/>
      <c r="AB82" s="219" t="b">
        <f t="shared" si="9"/>
        <v>0</v>
      </c>
    </row>
    <row r="83" spans="1:28" s="59" customFormat="1" hidden="1">
      <c r="A83" s="45"/>
      <c r="B83" s="791"/>
      <c r="C83" s="727"/>
      <c r="D83" s="64" t="s">
        <v>398</v>
      </c>
      <c r="E83" s="1475"/>
      <c r="F83" s="1476"/>
      <c r="G83" s="1476"/>
      <c r="H83" s="1477"/>
      <c r="I83" s="1478"/>
      <c r="J83" s="1479"/>
      <c r="K83" s="1480"/>
      <c r="L83" s="1475"/>
      <c r="M83" s="1477"/>
      <c r="N83" s="1159" t="str">
        <f t="shared" si="1"/>
        <v/>
      </c>
      <c r="O83" s="1160"/>
      <c r="P83" s="45"/>
      <c r="Q83" s="45"/>
      <c r="R83" s="219" t="b">
        <f t="shared" si="2"/>
        <v>0</v>
      </c>
      <c r="S83" s="219" t="str">
        <f t="shared" si="3"/>
        <v>SourceStreamName_</v>
      </c>
      <c r="T83" s="219" t="str">
        <f t="shared" si="4"/>
        <v>SourceStreamClass_</v>
      </c>
      <c r="U83" s="45"/>
      <c r="V83" s="220" t="b">
        <f t="shared" si="5"/>
        <v>0</v>
      </c>
      <c r="W83" s="219" t="str">
        <f t="shared" si="6"/>
        <v/>
      </c>
      <c r="X83" s="638" t="str">
        <f t="shared" si="7"/>
        <v/>
      </c>
      <c r="Y83" s="355" t="str">
        <f t="shared" si="8"/>
        <v>netaik.</v>
      </c>
      <c r="Z83" s="223" t="str">
        <f>IF(E83="","",IF(MATCH(E83,EUConst_TierActivityListNames,0)&gt;40,MAX(Z$68:Z82)+1,""))</f>
        <v/>
      </c>
      <c r="AA83" s="45"/>
      <c r="AB83" s="219" t="b">
        <f t="shared" si="9"/>
        <v>0</v>
      </c>
    </row>
    <row r="84" spans="1:28" s="59" customFormat="1" hidden="1">
      <c r="A84" s="45"/>
      <c r="B84" s="791"/>
      <c r="C84" s="727"/>
      <c r="D84" s="64" t="s">
        <v>399</v>
      </c>
      <c r="E84" s="1475"/>
      <c r="F84" s="1476"/>
      <c r="G84" s="1476"/>
      <c r="H84" s="1477"/>
      <c r="I84" s="1478"/>
      <c r="J84" s="1479"/>
      <c r="K84" s="1480"/>
      <c r="L84" s="1475"/>
      <c r="M84" s="1477"/>
      <c r="N84" s="1159" t="str">
        <f t="shared" si="1"/>
        <v/>
      </c>
      <c r="O84" s="1160"/>
      <c r="P84" s="45"/>
      <c r="Q84" s="45"/>
      <c r="R84" s="219" t="b">
        <f t="shared" si="2"/>
        <v>0</v>
      </c>
      <c r="S84" s="219" t="str">
        <f t="shared" si="3"/>
        <v>SourceStreamName_</v>
      </c>
      <c r="T84" s="219" t="str">
        <f t="shared" si="4"/>
        <v>SourceStreamClass_</v>
      </c>
      <c r="U84" s="45"/>
      <c r="V84" s="220" t="b">
        <f t="shared" si="5"/>
        <v>0</v>
      </c>
      <c r="W84" s="219" t="str">
        <f t="shared" si="6"/>
        <v/>
      </c>
      <c r="X84" s="638" t="str">
        <f t="shared" si="7"/>
        <v/>
      </c>
      <c r="Y84" s="355" t="str">
        <f t="shared" si="8"/>
        <v>netaik.</v>
      </c>
      <c r="Z84" s="223" t="str">
        <f>IF(E84="","",IF(MATCH(E84,EUConst_TierActivityListNames,0)&gt;40,MAX(Z$68:Z83)+1,""))</f>
        <v/>
      </c>
      <c r="AA84" s="45"/>
      <c r="AB84" s="219" t="b">
        <f t="shared" si="9"/>
        <v>0</v>
      </c>
    </row>
    <row r="85" spans="1:28" s="59" customFormat="1" hidden="1">
      <c r="A85" s="45"/>
      <c r="B85" s="791"/>
      <c r="C85" s="727"/>
      <c r="D85" s="64" t="s">
        <v>400</v>
      </c>
      <c r="E85" s="1475"/>
      <c r="F85" s="1476"/>
      <c r="G85" s="1476"/>
      <c r="H85" s="1477"/>
      <c r="I85" s="1478"/>
      <c r="J85" s="1479"/>
      <c r="K85" s="1480"/>
      <c r="L85" s="1475"/>
      <c r="M85" s="1477"/>
      <c r="N85" s="1159" t="str">
        <f t="shared" si="1"/>
        <v/>
      </c>
      <c r="O85" s="1160"/>
      <c r="P85" s="47"/>
      <c r="Q85" s="45"/>
      <c r="R85" s="219" t="b">
        <f t="shared" si="2"/>
        <v>0</v>
      </c>
      <c r="S85" s="219" t="str">
        <f t="shared" si="3"/>
        <v>SourceStreamName_</v>
      </c>
      <c r="T85" s="219" t="str">
        <f t="shared" si="4"/>
        <v>SourceStreamClass_</v>
      </c>
      <c r="U85" s="45"/>
      <c r="V85" s="220" t="b">
        <f t="shared" si="5"/>
        <v>0</v>
      </c>
      <c r="W85" s="219" t="str">
        <f t="shared" si="6"/>
        <v/>
      </c>
      <c r="X85" s="638" t="str">
        <f t="shared" si="7"/>
        <v/>
      </c>
      <c r="Y85" s="355" t="str">
        <f t="shared" si="8"/>
        <v>netaik.</v>
      </c>
      <c r="Z85" s="223" t="str">
        <f>IF(E85="","",IF(MATCH(E85,EUConst_TierActivityListNames,0)&gt;40,MAX(Z$68:Z84)+1,""))</f>
        <v/>
      </c>
      <c r="AA85" s="45"/>
      <c r="AB85" s="219" t="b">
        <f t="shared" si="9"/>
        <v>0</v>
      </c>
    </row>
    <row r="86" spans="1:28" s="59" customFormat="1" hidden="1">
      <c r="A86" s="45"/>
      <c r="B86" s="791"/>
      <c r="C86" s="727"/>
      <c r="D86" s="64" t="s">
        <v>401</v>
      </c>
      <c r="E86" s="1475"/>
      <c r="F86" s="1476"/>
      <c r="G86" s="1476"/>
      <c r="H86" s="1477"/>
      <c r="I86" s="1478"/>
      <c r="J86" s="1479"/>
      <c r="K86" s="1480"/>
      <c r="L86" s="1475"/>
      <c r="M86" s="1477"/>
      <c r="N86" s="1159" t="str">
        <f t="shared" si="1"/>
        <v/>
      </c>
      <c r="O86" s="1160"/>
      <c r="P86" s="45"/>
      <c r="Q86" s="45"/>
      <c r="R86" s="219" t="b">
        <f t="shared" si="2"/>
        <v>0</v>
      </c>
      <c r="S86" s="219" t="str">
        <f t="shared" si="3"/>
        <v>SourceStreamName_</v>
      </c>
      <c r="T86" s="219" t="str">
        <f t="shared" si="4"/>
        <v>SourceStreamClass_</v>
      </c>
      <c r="U86" s="45"/>
      <c r="V86" s="220" t="b">
        <f t="shared" si="5"/>
        <v>0</v>
      </c>
      <c r="W86" s="219" t="str">
        <f t="shared" si="6"/>
        <v/>
      </c>
      <c r="X86" s="638" t="str">
        <f t="shared" si="7"/>
        <v/>
      </c>
      <c r="Y86" s="355" t="str">
        <f t="shared" si="8"/>
        <v>netaik.</v>
      </c>
      <c r="Z86" s="223" t="str">
        <f>IF(E86="","",IF(MATCH(E86,EUConst_TierActivityListNames,0)&gt;40,MAX(Z$68:Z85)+1,""))</f>
        <v/>
      </c>
      <c r="AA86" s="45"/>
      <c r="AB86" s="219" t="b">
        <f t="shared" si="9"/>
        <v>0</v>
      </c>
    </row>
    <row r="87" spans="1:28" s="59" customFormat="1" hidden="1">
      <c r="A87" s="45"/>
      <c r="B87" s="791"/>
      <c r="C87" s="727"/>
      <c r="D87" s="64" t="s">
        <v>402</v>
      </c>
      <c r="E87" s="1475"/>
      <c r="F87" s="1476"/>
      <c r="G87" s="1476"/>
      <c r="H87" s="1477"/>
      <c r="I87" s="1478"/>
      <c r="J87" s="1479"/>
      <c r="K87" s="1480"/>
      <c r="L87" s="1475"/>
      <c r="M87" s="1477"/>
      <c r="N87" s="1159" t="str">
        <f t="shared" si="1"/>
        <v/>
      </c>
      <c r="O87" s="1160"/>
      <c r="P87" s="45"/>
      <c r="Q87" s="45"/>
      <c r="R87" s="219" t="b">
        <f t="shared" si="2"/>
        <v>0</v>
      </c>
      <c r="S87" s="219" t="str">
        <f t="shared" si="3"/>
        <v>SourceStreamName_</v>
      </c>
      <c r="T87" s="219" t="str">
        <f t="shared" si="4"/>
        <v>SourceStreamClass_</v>
      </c>
      <c r="U87" s="45"/>
      <c r="V87" s="220" t="b">
        <f t="shared" si="5"/>
        <v>0</v>
      </c>
      <c r="W87" s="219" t="str">
        <f t="shared" si="6"/>
        <v/>
      </c>
      <c r="X87" s="638" t="str">
        <f t="shared" si="7"/>
        <v/>
      </c>
      <c r="Y87" s="355" t="str">
        <f t="shared" si="8"/>
        <v>netaik.</v>
      </c>
      <c r="Z87" s="223" t="str">
        <f>IF(E87="","",IF(MATCH(E87,EUConst_TierActivityListNames,0)&gt;40,MAX(Z$68:Z86)+1,""))</f>
        <v/>
      </c>
      <c r="AA87" s="45"/>
      <c r="AB87" s="219" t="b">
        <f t="shared" si="9"/>
        <v>0</v>
      </c>
    </row>
    <row r="88" spans="1:28" s="59" customFormat="1" hidden="1">
      <c r="A88" s="45"/>
      <c r="B88" s="791"/>
      <c r="C88" s="727"/>
      <c r="D88" s="64" t="s">
        <v>403</v>
      </c>
      <c r="E88" s="1475"/>
      <c r="F88" s="1476"/>
      <c r="G88" s="1476"/>
      <c r="H88" s="1477"/>
      <c r="I88" s="1478"/>
      <c r="J88" s="1479"/>
      <c r="K88" s="1480"/>
      <c r="L88" s="1475"/>
      <c r="M88" s="1477"/>
      <c r="N88" s="1159" t="str">
        <f t="shared" si="1"/>
        <v/>
      </c>
      <c r="O88" s="1160"/>
      <c r="P88" s="45"/>
      <c r="Q88" s="45"/>
      <c r="R88" s="219" t="b">
        <f t="shared" si="2"/>
        <v>0</v>
      </c>
      <c r="S88" s="219" t="str">
        <f t="shared" si="3"/>
        <v>SourceStreamName_</v>
      </c>
      <c r="T88" s="219" t="str">
        <f t="shared" si="4"/>
        <v>SourceStreamClass_</v>
      </c>
      <c r="U88" s="45"/>
      <c r="V88" s="220" t="b">
        <f t="shared" si="5"/>
        <v>0</v>
      </c>
      <c r="W88" s="219" t="str">
        <f t="shared" si="6"/>
        <v/>
      </c>
      <c r="X88" s="638" t="str">
        <f t="shared" si="7"/>
        <v/>
      </c>
      <c r="Y88" s="355" t="str">
        <f t="shared" si="8"/>
        <v>netaik.</v>
      </c>
      <c r="Z88" s="223" t="str">
        <f>IF(E88="","",IF(MATCH(E88,EUConst_TierActivityListNames,0)&gt;40,MAX(Z$68:Z87)+1,""))</f>
        <v/>
      </c>
      <c r="AA88" s="45"/>
      <c r="AB88" s="219" t="b">
        <f t="shared" si="9"/>
        <v>0</v>
      </c>
    </row>
    <row r="89" spans="1:28" s="59" customFormat="1" hidden="1">
      <c r="A89" s="45"/>
      <c r="B89" s="791"/>
      <c r="C89" s="727"/>
      <c r="D89" s="64" t="s">
        <v>404</v>
      </c>
      <c r="E89" s="1475"/>
      <c r="F89" s="1476"/>
      <c r="G89" s="1476"/>
      <c r="H89" s="1477"/>
      <c r="I89" s="1478"/>
      <c r="J89" s="1479"/>
      <c r="K89" s="1480"/>
      <c r="L89" s="1475"/>
      <c r="M89" s="1477"/>
      <c r="N89" s="1159" t="str">
        <f t="shared" si="1"/>
        <v/>
      </c>
      <c r="O89" s="1160"/>
      <c r="P89" s="45"/>
      <c r="Q89" s="45"/>
      <c r="R89" s="219" t="b">
        <f t="shared" si="2"/>
        <v>0</v>
      </c>
      <c r="S89" s="219" t="str">
        <f t="shared" si="3"/>
        <v>SourceStreamName_</v>
      </c>
      <c r="T89" s="219" t="str">
        <f t="shared" si="4"/>
        <v>SourceStreamClass_</v>
      </c>
      <c r="U89" s="45"/>
      <c r="V89" s="220" t="b">
        <f t="shared" si="5"/>
        <v>0</v>
      </c>
      <c r="W89" s="219" t="str">
        <f t="shared" si="6"/>
        <v/>
      </c>
      <c r="X89" s="638" t="str">
        <f t="shared" si="7"/>
        <v/>
      </c>
      <c r="Y89" s="355" t="str">
        <f t="shared" si="8"/>
        <v>netaik.</v>
      </c>
      <c r="Z89" s="223" t="str">
        <f>IF(E89="","",IF(MATCH(E89,EUConst_TierActivityListNames,0)&gt;40,MAX(Z$68:Z88)+1,""))</f>
        <v/>
      </c>
      <c r="AA89" s="45"/>
      <c r="AB89" s="219" t="b">
        <f t="shared" si="9"/>
        <v>0</v>
      </c>
    </row>
    <row r="90" spans="1:28" s="59" customFormat="1" hidden="1">
      <c r="A90" s="45"/>
      <c r="B90" s="791"/>
      <c r="C90" s="727"/>
      <c r="D90" s="64" t="s">
        <v>405</v>
      </c>
      <c r="E90" s="1475"/>
      <c r="F90" s="1476"/>
      <c r="G90" s="1476"/>
      <c r="H90" s="1477"/>
      <c r="I90" s="1478"/>
      <c r="J90" s="1479"/>
      <c r="K90" s="1480"/>
      <c r="L90" s="1475"/>
      <c r="M90" s="1477"/>
      <c r="N90" s="1159" t="str">
        <f t="shared" si="1"/>
        <v/>
      </c>
      <c r="O90" s="1160"/>
      <c r="P90" s="47"/>
      <c r="Q90" s="45"/>
      <c r="R90" s="219" t="b">
        <f t="shared" si="2"/>
        <v>0</v>
      </c>
      <c r="S90" s="219" t="str">
        <f t="shared" si="3"/>
        <v>SourceStreamName_</v>
      </c>
      <c r="T90" s="219" t="str">
        <f t="shared" si="4"/>
        <v>SourceStreamClass_</v>
      </c>
      <c r="U90" s="45"/>
      <c r="V90" s="220" t="b">
        <f t="shared" si="5"/>
        <v>0</v>
      </c>
      <c r="W90" s="219" t="str">
        <f t="shared" si="6"/>
        <v/>
      </c>
      <c r="X90" s="638" t="str">
        <f t="shared" si="7"/>
        <v/>
      </c>
      <c r="Y90" s="355" t="str">
        <f t="shared" si="8"/>
        <v>netaik.</v>
      </c>
      <c r="Z90" s="223" t="str">
        <f>IF(E90="","",IF(MATCH(E90,EUConst_TierActivityListNames,0)&gt;40,MAX(Z$68:Z89)+1,""))</f>
        <v/>
      </c>
      <c r="AA90" s="45"/>
      <c r="AB90" s="219" t="b">
        <f t="shared" si="9"/>
        <v>0</v>
      </c>
    </row>
    <row r="91" spans="1:28" s="59" customFormat="1" hidden="1">
      <c r="A91" s="45"/>
      <c r="B91" s="791"/>
      <c r="C91" s="727"/>
      <c r="D91" s="64" t="s">
        <v>406</v>
      </c>
      <c r="E91" s="1475"/>
      <c r="F91" s="1476"/>
      <c r="G91" s="1476"/>
      <c r="H91" s="1477"/>
      <c r="I91" s="1478"/>
      <c r="J91" s="1479"/>
      <c r="K91" s="1480"/>
      <c r="L91" s="1475"/>
      <c r="M91" s="1477"/>
      <c r="N91" s="1159" t="str">
        <f t="shared" si="1"/>
        <v/>
      </c>
      <c r="O91" s="1160"/>
      <c r="P91" s="45"/>
      <c r="Q91" s="45"/>
      <c r="R91" s="219" t="b">
        <f t="shared" si="2"/>
        <v>0</v>
      </c>
      <c r="S91" s="219" t="str">
        <f t="shared" si="3"/>
        <v>SourceStreamName_</v>
      </c>
      <c r="T91" s="219" t="str">
        <f t="shared" si="4"/>
        <v>SourceStreamClass_</v>
      </c>
      <c r="U91" s="45"/>
      <c r="V91" s="220" t="b">
        <f t="shared" si="5"/>
        <v>0</v>
      </c>
      <c r="W91" s="219" t="str">
        <f t="shared" si="6"/>
        <v/>
      </c>
      <c r="X91" s="638" t="str">
        <f t="shared" si="7"/>
        <v/>
      </c>
      <c r="Y91" s="355" t="str">
        <f t="shared" si="8"/>
        <v>netaik.</v>
      </c>
      <c r="Z91" s="223" t="str">
        <f>IF(E91="","",IF(MATCH(E91,EUConst_TierActivityListNames,0)&gt;40,MAX(Z$68:Z90)+1,""))</f>
        <v/>
      </c>
      <c r="AA91" s="45"/>
      <c r="AB91" s="219" t="b">
        <f t="shared" si="9"/>
        <v>0</v>
      </c>
    </row>
    <row r="92" spans="1:28" s="59" customFormat="1" hidden="1">
      <c r="A92" s="45"/>
      <c r="B92" s="791"/>
      <c r="C92" s="727"/>
      <c r="D92" s="64" t="s">
        <v>407</v>
      </c>
      <c r="E92" s="1475"/>
      <c r="F92" s="1476"/>
      <c r="G92" s="1476"/>
      <c r="H92" s="1477"/>
      <c r="I92" s="1478"/>
      <c r="J92" s="1479"/>
      <c r="K92" s="1480"/>
      <c r="L92" s="1475"/>
      <c r="M92" s="1477"/>
      <c r="N92" s="1159" t="str">
        <f t="shared" si="1"/>
        <v/>
      </c>
      <c r="O92" s="1160"/>
      <c r="P92" s="45"/>
      <c r="Q92" s="45"/>
      <c r="R92" s="219" t="b">
        <f t="shared" si="2"/>
        <v>0</v>
      </c>
      <c r="S92" s="219" t="str">
        <f t="shared" si="3"/>
        <v>SourceStreamName_</v>
      </c>
      <c r="T92" s="219" t="str">
        <f t="shared" si="4"/>
        <v>SourceStreamClass_</v>
      </c>
      <c r="U92" s="45"/>
      <c r="V92" s="220" t="b">
        <f t="shared" si="5"/>
        <v>0</v>
      </c>
      <c r="W92" s="219" t="str">
        <f t="shared" si="6"/>
        <v/>
      </c>
      <c r="X92" s="638" t="str">
        <f t="shared" si="7"/>
        <v/>
      </c>
      <c r="Y92" s="355" t="str">
        <f t="shared" si="8"/>
        <v>netaik.</v>
      </c>
      <c r="Z92" s="223" t="str">
        <f>IF(E92="","",IF(MATCH(E92,EUConst_TierActivityListNames,0)&gt;40,MAX(Z$68:Z91)+1,""))</f>
        <v/>
      </c>
      <c r="AA92" s="45"/>
      <c r="AB92" s="219" t="b">
        <f t="shared" si="9"/>
        <v>0</v>
      </c>
    </row>
    <row r="93" spans="1:28" s="59" customFormat="1" hidden="1">
      <c r="A93" s="45"/>
      <c r="B93" s="791"/>
      <c r="C93" s="727"/>
      <c r="D93" s="64" t="s">
        <v>408</v>
      </c>
      <c r="E93" s="1475"/>
      <c r="F93" s="1476"/>
      <c r="G93" s="1476"/>
      <c r="H93" s="1477"/>
      <c r="I93" s="1478"/>
      <c r="J93" s="1479"/>
      <c r="K93" s="1480"/>
      <c r="L93" s="1475"/>
      <c r="M93" s="1477"/>
      <c r="N93" s="1159" t="str">
        <f t="shared" si="1"/>
        <v/>
      </c>
      <c r="O93" s="1160"/>
      <c r="P93" s="45"/>
      <c r="Q93" s="45"/>
      <c r="R93" s="219" t="b">
        <f t="shared" si="2"/>
        <v>0</v>
      </c>
      <c r="S93" s="219" t="str">
        <f t="shared" si="3"/>
        <v>SourceStreamName_</v>
      </c>
      <c r="T93" s="219" t="str">
        <f t="shared" si="4"/>
        <v>SourceStreamClass_</v>
      </c>
      <c r="U93" s="45"/>
      <c r="V93" s="220" t="b">
        <f t="shared" si="5"/>
        <v>0</v>
      </c>
      <c r="W93" s="219" t="str">
        <f t="shared" si="6"/>
        <v/>
      </c>
      <c r="X93" s="638" t="str">
        <f t="shared" si="7"/>
        <v/>
      </c>
      <c r="Y93" s="355" t="str">
        <f t="shared" si="8"/>
        <v>netaik.</v>
      </c>
      <c r="Z93" s="223" t="str">
        <f>IF(E93="","",IF(MATCH(E93,EUConst_TierActivityListNames,0)&gt;40,MAX(Z$68:Z92)+1,""))</f>
        <v/>
      </c>
      <c r="AA93" s="45"/>
      <c r="AB93" s="219" t="b">
        <f t="shared" si="9"/>
        <v>0</v>
      </c>
    </row>
    <row r="94" spans="1:28" s="59" customFormat="1" hidden="1">
      <c r="A94" s="45"/>
      <c r="B94" s="791"/>
      <c r="C94" s="727"/>
      <c r="D94" s="64" t="s">
        <v>409</v>
      </c>
      <c r="E94" s="1475"/>
      <c r="F94" s="1476"/>
      <c r="G94" s="1476"/>
      <c r="H94" s="1477"/>
      <c r="I94" s="1478"/>
      <c r="J94" s="1479"/>
      <c r="K94" s="1480"/>
      <c r="L94" s="1475"/>
      <c r="M94" s="1477"/>
      <c r="N94" s="1159" t="str">
        <f t="shared" si="1"/>
        <v/>
      </c>
      <c r="O94" s="1160"/>
      <c r="P94" s="45"/>
      <c r="Q94" s="45"/>
      <c r="R94" s="219" t="b">
        <f t="shared" si="2"/>
        <v>0</v>
      </c>
      <c r="S94" s="219" t="str">
        <f t="shared" si="3"/>
        <v>SourceStreamName_</v>
      </c>
      <c r="T94" s="219" t="str">
        <f t="shared" si="4"/>
        <v>SourceStreamClass_</v>
      </c>
      <c r="U94" s="45"/>
      <c r="V94" s="220" t="b">
        <f t="shared" si="5"/>
        <v>0</v>
      </c>
      <c r="W94" s="219" t="str">
        <f t="shared" si="6"/>
        <v/>
      </c>
      <c r="X94" s="638" t="str">
        <f t="shared" si="7"/>
        <v/>
      </c>
      <c r="Y94" s="355" t="str">
        <f t="shared" si="8"/>
        <v>netaik.</v>
      </c>
      <c r="Z94" s="223" t="str">
        <f>IF(E94="","",IF(MATCH(E94,EUConst_TierActivityListNames,0)&gt;40,MAX(Z$68:Z93)+1,""))</f>
        <v/>
      </c>
      <c r="AA94" s="45"/>
      <c r="AB94" s="219" t="b">
        <f t="shared" si="9"/>
        <v>0</v>
      </c>
    </row>
    <row r="95" spans="1:28" s="59" customFormat="1" hidden="1">
      <c r="A95" s="45"/>
      <c r="B95" s="791"/>
      <c r="C95" s="727"/>
      <c r="D95" s="64" t="s">
        <v>410</v>
      </c>
      <c r="E95" s="1475"/>
      <c r="F95" s="1476"/>
      <c r="G95" s="1476"/>
      <c r="H95" s="1477"/>
      <c r="I95" s="1478"/>
      <c r="J95" s="1479"/>
      <c r="K95" s="1480"/>
      <c r="L95" s="1475"/>
      <c r="M95" s="1477"/>
      <c r="N95" s="1159" t="str">
        <f t="shared" si="1"/>
        <v/>
      </c>
      <c r="O95" s="1160"/>
      <c r="P95" s="47"/>
      <c r="Q95" s="45"/>
      <c r="R95" s="219" t="b">
        <f t="shared" si="2"/>
        <v>0</v>
      </c>
      <c r="S95" s="219" t="str">
        <f t="shared" si="3"/>
        <v>SourceStreamName_</v>
      </c>
      <c r="T95" s="219" t="str">
        <f t="shared" si="4"/>
        <v>SourceStreamClass_</v>
      </c>
      <c r="U95" s="45"/>
      <c r="V95" s="220" t="b">
        <f t="shared" si="5"/>
        <v>0</v>
      </c>
      <c r="W95" s="219" t="str">
        <f t="shared" si="6"/>
        <v/>
      </c>
      <c r="X95" s="638" t="str">
        <f t="shared" si="7"/>
        <v/>
      </c>
      <c r="Y95" s="355" t="str">
        <f t="shared" si="8"/>
        <v>netaik.</v>
      </c>
      <c r="Z95" s="223" t="str">
        <f>IF(E95="","",IF(MATCH(E95,EUConst_TierActivityListNames,0)&gt;40,MAX(Z$68:Z94)+1,""))</f>
        <v/>
      </c>
      <c r="AA95" s="45"/>
      <c r="AB95" s="219" t="b">
        <f t="shared" si="9"/>
        <v>0</v>
      </c>
    </row>
    <row r="96" spans="1:28" s="59" customFormat="1" hidden="1">
      <c r="A96" s="45"/>
      <c r="B96" s="791"/>
      <c r="C96" s="727"/>
      <c r="D96" s="64" t="s">
        <v>411</v>
      </c>
      <c r="E96" s="1475"/>
      <c r="F96" s="1476"/>
      <c r="G96" s="1476"/>
      <c r="H96" s="1477"/>
      <c r="I96" s="1478"/>
      <c r="J96" s="1479"/>
      <c r="K96" s="1480"/>
      <c r="L96" s="1475"/>
      <c r="M96" s="1477"/>
      <c r="N96" s="1159" t="str">
        <f t="shared" si="1"/>
        <v/>
      </c>
      <c r="O96" s="1160"/>
      <c r="P96" s="45"/>
      <c r="Q96" s="45"/>
      <c r="R96" s="219" t="b">
        <f t="shared" si="2"/>
        <v>0</v>
      </c>
      <c r="S96" s="219" t="str">
        <f t="shared" si="3"/>
        <v>SourceStreamName_</v>
      </c>
      <c r="T96" s="219" t="str">
        <f t="shared" si="4"/>
        <v>SourceStreamClass_</v>
      </c>
      <c r="U96" s="45"/>
      <c r="V96" s="220" t="b">
        <f t="shared" si="5"/>
        <v>0</v>
      </c>
      <c r="W96" s="219" t="str">
        <f t="shared" si="6"/>
        <v/>
      </c>
      <c r="X96" s="638" t="str">
        <f t="shared" si="7"/>
        <v/>
      </c>
      <c r="Y96" s="355" t="str">
        <f t="shared" si="8"/>
        <v>netaik.</v>
      </c>
      <c r="Z96" s="223" t="str">
        <f>IF(E96="","",IF(MATCH(E96,EUConst_TierActivityListNames,0)&gt;40,MAX(Z$68:Z95)+1,""))</f>
        <v/>
      </c>
      <c r="AA96" s="45"/>
      <c r="AB96" s="219" t="b">
        <f t="shared" si="9"/>
        <v>0</v>
      </c>
    </row>
    <row r="97" spans="1:28" s="59" customFormat="1" hidden="1">
      <c r="A97" s="45"/>
      <c r="B97" s="791"/>
      <c r="C97" s="727"/>
      <c r="D97" s="64" t="s">
        <v>412</v>
      </c>
      <c r="E97" s="1475"/>
      <c r="F97" s="1476"/>
      <c r="G97" s="1476"/>
      <c r="H97" s="1477"/>
      <c r="I97" s="1478"/>
      <c r="J97" s="1479"/>
      <c r="K97" s="1480"/>
      <c r="L97" s="1475"/>
      <c r="M97" s="1477"/>
      <c r="N97" s="1159" t="str">
        <f t="shared" si="1"/>
        <v/>
      </c>
      <c r="O97" s="1160"/>
      <c r="P97" s="45"/>
      <c r="Q97" s="45"/>
      <c r="R97" s="219" t="b">
        <f t="shared" si="2"/>
        <v>0</v>
      </c>
      <c r="S97" s="219" t="str">
        <f t="shared" si="3"/>
        <v>SourceStreamName_</v>
      </c>
      <c r="T97" s="219" t="str">
        <f t="shared" si="4"/>
        <v>SourceStreamClass_</v>
      </c>
      <c r="U97" s="45"/>
      <c r="V97" s="220" t="b">
        <f t="shared" si="5"/>
        <v>0</v>
      </c>
      <c r="W97" s="219" t="str">
        <f t="shared" si="6"/>
        <v/>
      </c>
      <c r="X97" s="638" t="str">
        <f t="shared" si="7"/>
        <v/>
      </c>
      <c r="Y97" s="355" t="str">
        <f t="shared" si="8"/>
        <v>netaik.</v>
      </c>
      <c r="Z97" s="223" t="str">
        <f>IF(E97="","",IF(MATCH(E97,EUConst_TierActivityListNames,0)&gt;40,MAX(Z$68:Z96)+1,""))</f>
        <v/>
      </c>
      <c r="AA97" s="45"/>
      <c r="AB97" s="219" t="b">
        <f t="shared" si="9"/>
        <v>0</v>
      </c>
    </row>
    <row r="98" spans="1:28" s="59" customFormat="1" hidden="1">
      <c r="A98" s="45"/>
      <c r="B98" s="791"/>
      <c r="C98" s="727"/>
      <c r="D98" s="64" t="s">
        <v>413</v>
      </c>
      <c r="E98" s="1475"/>
      <c r="F98" s="1476"/>
      <c r="G98" s="1476"/>
      <c r="H98" s="1477"/>
      <c r="I98" s="1478"/>
      <c r="J98" s="1479"/>
      <c r="K98" s="1480"/>
      <c r="L98" s="1475"/>
      <c r="M98" s="1477"/>
      <c r="N98" s="1159" t="str">
        <f t="shared" si="1"/>
        <v/>
      </c>
      <c r="O98" s="1160"/>
      <c r="P98" s="45"/>
      <c r="Q98" s="45"/>
      <c r="R98" s="219" t="b">
        <f t="shared" si="2"/>
        <v>0</v>
      </c>
      <c r="S98" s="219" t="str">
        <f t="shared" si="3"/>
        <v>SourceStreamName_</v>
      </c>
      <c r="T98" s="219" t="str">
        <f t="shared" si="4"/>
        <v>SourceStreamClass_</v>
      </c>
      <c r="U98" s="45"/>
      <c r="V98" s="220" t="b">
        <f t="shared" si="5"/>
        <v>0</v>
      </c>
      <c r="W98" s="219" t="str">
        <f t="shared" si="6"/>
        <v/>
      </c>
      <c r="X98" s="638" t="str">
        <f t="shared" si="7"/>
        <v/>
      </c>
      <c r="Y98" s="355" t="str">
        <f t="shared" si="8"/>
        <v>netaik.</v>
      </c>
      <c r="Z98" s="223" t="str">
        <f>IF(E98="","",IF(MATCH(E98,EUConst_TierActivityListNames,0)&gt;40,MAX(Z$68:Z97)+1,""))</f>
        <v/>
      </c>
      <c r="AA98" s="45"/>
      <c r="AB98" s="219" t="b">
        <f t="shared" si="9"/>
        <v>0</v>
      </c>
    </row>
    <row r="99" spans="1:28" s="59" customFormat="1" hidden="1">
      <c r="A99" s="45"/>
      <c r="B99" s="791"/>
      <c r="C99" s="727"/>
      <c r="D99" s="64" t="s">
        <v>414</v>
      </c>
      <c r="E99" s="1475"/>
      <c r="F99" s="1476"/>
      <c r="G99" s="1476"/>
      <c r="H99" s="1477"/>
      <c r="I99" s="1478"/>
      <c r="J99" s="1479"/>
      <c r="K99" s="1480"/>
      <c r="L99" s="1475"/>
      <c r="M99" s="1477"/>
      <c r="N99" s="1159" t="str">
        <f t="shared" si="1"/>
        <v/>
      </c>
      <c r="O99" s="1160"/>
      <c r="P99" s="45"/>
      <c r="Q99" s="45"/>
      <c r="R99" s="219" t="b">
        <f t="shared" si="2"/>
        <v>0</v>
      </c>
      <c r="S99" s="219" t="str">
        <f t="shared" si="3"/>
        <v>SourceStreamName_</v>
      </c>
      <c r="T99" s="219" t="str">
        <f t="shared" si="4"/>
        <v>SourceStreamClass_</v>
      </c>
      <c r="U99" s="45"/>
      <c r="V99" s="220" t="b">
        <f t="shared" si="5"/>
        <v>0</v>
      </c>
      <c r="W99" s="219" t="str">
        <f t="shared" si="6"/>
        <v/>
      </c>
      <c r="X99" s="638" t="str">
        <f t="shared" si="7"/>
        <v/>
      </c>
      <c r="Y99" s="355" t="str">
        <f t="shared" si="8"/>
        <v>netaik.</v>
      </c>
      <c r="Z99" s="223" t="str">
        <f>IF(E99="","",IF(MATCH(E99,EUConst_TierActivityListNames,0)&gt;40,MAX(Z$68:Z98)+1,""))</f>
        <v/>
      </c>
      <c r="AA99" s="45"/>
      <c r="AB99" s="219" t="b">
        <f t="shared" si="9"/>
        <v>0</v>
      </c>
    </row>
    <row r="100" spans="1:28" s="59" customFormat="1" hidden="1">
      <c r="A100" s="45"/>
      <c r="B100" s="791"/>
      <c r="C100" s="727"/>
      <c r="D100" s="64" t="s">
        <v>415</v>
      </c>
      <c r="E100" s="1475"/>
      <c r="F100" s="1476"/>
      <c r="G100" s="1476"/>
      <c r="H100" s="1477"/>
      <c r="I100" s="1478"/>
      <c r="J100" s="1479"/>
      <c r="K100" s="1480"/>
      <c r="L100" s="1475"/>
      <c r="M100" s="1477"/>
      <c r="N100" s="1159" t="str">
        <f t="shared" si="1"/>
        <v/>
      </c>
      <c r="O100" s="1160"/>
      <c r="P100" s="47"/>
      <c r="Q100" s="45"/>
      <c r="R100" s="219" t="b">
        <f t="shared" si="2"/>
        <v>0</v>
      </c>
      <c r="S100" s="219" t="str">
        <f t="shared" si="3"/>
        <v>SourceStreamName_</v>
      </c>
      <c r="T100" s="219" t="str">
        <f t="shared" si="4"/>
        <v>SourceStreamClass_</v>
      </c>
      <c r="U100" s="45"/>
      <c r="V100" s="220" t="b">
        <f t="shared" si="5"/>
        <v>0</v>
      </c>
      <c r="W100" s="219" t="str">
        <f t="shared" si="6"/>
        <v/>
      </c>
      <c r="X100" s="638" t="str">
        <f t="shared" si="7"/>
        <v/>
      </c>
      <c r="Y100" s="355" t="str">
        <f t="shared" si="8"/>
        <v>netaik.</v>
      </c>
      <c r="Z100" s="223" t="str">
        <f>IF(E100="","",IF(MATCH(E100,EUConst_TierActivityListNames,0)&gt;40,MAX(Z$68:Z99)+1,""))</f>
        <v/>
      </c>
      <c r="AA100" s="45"/>
      <c r="AB100" s="219" t="b">
        <f t="shared" si="9"/>
        <v>0</v>
      </c>
    </row>
    <row r="101" spans="1:28" s="59" customFormat="1" hidden="1">
      <c r="A101" s="45"/>
      <c r="B101" s="791"/>
      <c r="C101" s="727"/>
      <c r="D101" s="64" t="s">
        <v>416</v>
      </c>
      <c r="E101" s="1475"/>
      <c r="F101" s="1476"/>
      <c r="G101" s="1476"/>
      <c r="H101" s="1477"/>
      <c r="I101" s="1478"/>
      <c r="J101" s="1479"/>
      <c r="K101" s="1480"/>
      <c r="L101" s="1475"/>
      <c r="M101" s="1477"/>
      <c r="N101" s="1159" t="str">
        <f t="shared" si="1"/>
        <v/>
      </c>
      <c r="O101" s="1160"/>
      <c r="P101" s="45"/>
      <c r="Q101" s="45"/>
      <c r="R101" s="219" t="b">
        <f t="shared" si="2"/>
        <v>0</v>
      </c>
      <c r="S101" s="219" t="str">
        <f t="shared" si="3"/>
        <v>SourceStreamName_</v>
      </c>
      <c r="T101" s="219" t="str">
        <f t="shared" si="4"/>
        <v>SourceStreamClass_</v>
      </c>
      <c r="U101" s="45"/>
      <c r="V101" s="220" t="b">
        <f t="shared" si="5"/>
        <v>0</v>
      </c>
      <c r="W101" s="219" t="str">
        <f t="shared" si="6"/>
        <v/>
      </c>
      <c r="X101" s="638" t="str">
        <f t="shared" si="7"/>
        <v/>
      </c>
      <c r="Y101" s="355" t="str">
        <f t="shared" si="8"/>
        <v>netaik.</v>
      </c>
      <c r="Z101" s="223" t="str">
        <f>IF(E101="","",IF(MATCH(E101,EUConst_TierActivityListNames,0)&gt;40,MAX(Z$68:Z100)+1,""))</f>
        <v/>
      </c>
      <c r="AA101" s="45"/>
      <c r="AB101" s="219" t="b">
        <f t="shared" si="9"/>
        <v>0</v>
      </c>
    </row>
    <row r="102" spans="1:28" s="59" customFormat="1" ht="6" hidden="1" customHeight="1">
      <c r="A102" s="45"/>
      <c r="B102" s="791"/>
      <c r="C102" s="727"/>
      <c r="D102" s="64" t="s">
        <v>417</v>
      </c>
      <c r="E102" s="1475"/>
      <c r="F102" s="1476"/>
      <c r="G102" s="1476"/>
      <c r="H102" s="1477"/>
      <c r="I102" s="1478"/>
      <c r="J102" s="1479"/>
      <c r="K102" s="1480"/>
      <c r="L102" s="1475"/>
      <c r="M102" s="1477"/>
      <c r="N102" s="1159" t="str">
        <f t="shared" si="1"/>
        <v/>
      </c>
      <c r="O102" s="1160"/>
      <c r="P102" s="45"/>
      <c r="Q102" s="45"/>
      <c r="R102" s="219" t="b">
        <f t="shared" si="2"/>
        <v>0</v>
      </c>
      <c r="S102" s="219" t="str">
        <f t="shared" si="3"/>
        <v>SourceStreamName_</v>
      </c>
      <c r="T102" s="219" t="str">
        <f t="shared" si="4"/>
        <v>SourceStreamClass_</v>
      </c>
      <c r="U102" s="45"/>
      <c r="V102" s="220" t="b">
        <f t="shared" si="5"/>
        <v>0</v>
      </c>
      <c r="W102" s="219" t="str">
        <f t="shared" si="6"/>
        <v/>
      </c>
      <c r="X102" s="638" t="str">
        <f t="shared" si="7"/>
        <v/>
      </c>
      <c r="Y102" s="355" t="str">
        <f t="shared" si="8"/>
        <v>netaik.</v>
      </c>
      <c r="Z102" s="223" t="str">
        <f>IF(E102="","",IF(MATCH(E102,EUConst_TierActivityListNames,0)&gt;40,MAX(Z$68:Z101)+1,""))</f>
        <v/>
      </c>
      <c r="AA102" s="45"/>
      <c r="AB102" s="219" t="b">
        <f t="shared" si="9"/>
        <v>0</v>
      </c>
    </row>
    <row r="103" spans="1:28" s="59" customFormat="1" hidden="1">
      <c r="A103" s="45"/>
      <c r="B103" s="791"/>
      <c r="C103" s="727"/>
      <c r="D103" s="64" t="s">
        <v>418</v>
      </c>
      <c r="E103" s="1475"/>
      <c r="F103" s="1476"/>
      <c r="G103" s="1476"/>
      <c r="H103" s="1477"/>
      <c r="I103" s="1478"/>
      <c r="J103" s="1479"/>
      <c r="K103" s="1480"/>
      <c r="L103" s="1475"/>
      <c r="M103" s="1477"/>
      <c r="N103" s="1159" t="str">
        <f t="shared" ref="N103:N134" si="10">IF(R103=TRUE,EUconst_ERR_Inconsistent,IF(E103="","",IF(OR(AND($V103=FALSE,COUNTA(E103:M103)&lt;3),AND($V103=TRUE,COUNTA(E103:K103)&lt;2)),EUconst_ERR_Incomplete,"")))</f>
        <v/>
      </c>
      <c r="O103" s="1160"/>
      <c r="P103" s="45"/>
      <c r="Q103" s="45"/>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5"/>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5"/>
      <c r="AB103" s="219" t="b">
        <f t="shared" si="9"/>
        <v>0</v>
      </c>
    </row>
    <row r="104" spans="1:28" s="59" customFormat="1" hidden="1">
      <c r="A104" s="45"/>
      <c r="B104" s="791"/>
      <c r="C104" s="727"/>
      <c r="D104" s="64" t="s">
        <v>419</v>
      </c>
      <c r="E104" s="1475"/>
      <c r="F104" s="1476"/>
      <c r="G104" s="1476"/>
      <c r="H104" s="1477"/>
      <c r="I104" s="1478"/>
      <c r="J104" s="1479"/>
      <c r="K104" s="1480"/>
      <c r="L104" s="1475"/>
      <c r="M104" s="1477"/>
      <c r="N104" s="1159" t="str">
        <f t="shared" si="10"/>
        <v/>
      </c>
      <c r="O104" s="1160"/>
      <c r="P104" s="45"/>
      <c r="Q104" s="45"/>
      <c r="R104" s="219" t="b">
        <f t="shared" si="11"/>
        <v>0</v>
      </c>
      <c r="S104" s="219" t="str">
        <f t="shared" si="12"/>
        <v>SourceStreamName_</v>
      </c>
      <c r="T104" s="219" t="str">
        <f t="shared" si="13"/>
        <v>SourceStreamClass_</v>
      </c>
      <c r="U104" s="45"/>
      <c r="V104" s="220" t="b">
        <f t="shared" si="14"/>
        <v>0</v>
      </c>
      <c r="W104" s="219" t="str">
        <f t="shared" si="15"/>
        <v/>
      </c>
      <c r="X104" s="638" t="str">
        <f t="shared" si="16"/>
        <v/>
      </c>
      <c r="Y104" s="355" t="str">
        <f t="shared" si="17"/>
        <v>netaik.</v>
      </c>
      <c r="Z104" s="223" t="str">
        <f>IF(E104="","",IF(MATCH(E104,EUConst_TierActivityListNames,0)&gt;40,MAX(Z$68:Z103)+1,""))</f>
        <v/>
      </c>
      <c r="AA104" s="45"/>
      <c r="AB104" s="219" t="b">
        <f t="shared" si="9"/>
        <v>0</v>
      </c>
    </row>
    <row r="105" spans="1:28" s="59" customFormat="1" hidden="1">
      <c r="A105" s="45"/>
      <c r="B105" s="791"/>
      <c r="C105" s="727"/>
      <c r="D105" s="64" t="s">
        <v>420</v>
      </c>
      <c r="E105" s="1475"/>
      <c r="F105" s="1476"/>
      <c r="G105" s="1476"/>
      <c r="H105" s="1477"/>
      <c r="I105" s="1478"/>
      <c r="J105" s="1479"/>
      <c r="K105" s="1480"/>
      <c r="L105" s="1475"/>
      <c r="M105" s="1477"/>
      <c r="N105" s="1159" t="str">
        <f t="shared" si="10"/>
        <v/>
      </c>
      <c r="O105" s="1160"/>
      <c r="P105" s="47"/>
      <c r="Q105" s="45"/>
      <c r="R105" s="219" t="b">
        <f t="shared" si="11"/>
        <v>0</v>
      </c>
      <c r="S105" s="219" t="str">
        <f t="shared" si="12"/>
        <v>SourceStreamName_</v>
      </c>
      <c r="T105" s="219" t="str">
        <f t="shared" si="13"/>
        <v>SourceStreamClass_</v>
      </c>
      <c r="U105" s="45"/>
      <c r="V105" s="220" t="b">
        <f t="shared" si="14"/>
        <v>0</v>
      </c>
      <c r="W105" s="219" t="str">
        <f t="shared" si="15"/>
        <v/>
      </c>
      <c r="X105" s="638" t="str">
        <f t="shared" si="16"/>
        <v/>
      </c>
      <c r="Y105" s="355" t="str">
        <f t="shared" si="17"/>
        <v>netaik.</v>
      </c>
      <c r="Z105" s="223" t="str">
        <f>IF(E105="","",IF(MATCH(E105,EUConst_TierActivityListNames,0)&gt;40,MAX(Z$68:Z104)+1,""))</f>
        <v/>
      </c>
      <c r="AA105" s="45"/>
      <c r="AB105" s="219" t="b">
        <f t="shared" si="9"/>
        <v>0</v>
      </c>
    </row>
    <row r="106" spans="1:28" s="59" customFormat="1" hidden="1">
      <c r="A106" s="45"/>
      <c r="B106" s="791"/>
      <c r="C106" s="727"/>
      <c r="D106" s="64" t="s">
        <v>421</v>
      </c>
      <c r="E106" s="1475"/>
      <c r="F106" s="1476"/>
      <c r="G106" s="1476"/>
      <c r="H106" s="1477"/>
      <c r="I106" s="1478"/>
      <c r="J106" s="1479"/>
      <c r="K106" s="1480"/>
      <c r="L106" s="1475"/>
      <c r="M106" s="1477"/>
      <c r="N106" s="1159" t="str">
        <f t="shared" si="10"/>
        <v/>
      </c>
      <c r="O106" s="1160"/>
      <c r="P106" s="45"/>
      <c r="Q106" s="45"/>
      <c r="R106" s="219" t="b">
        <f t="shared" si="11"/>
        <v>0</v>
      </c>
      <c r="S106" s="219" t="str">
        <f t="shared" si="12"/>
        <v>SourceStreamName_</v>
      </c>
      <c r="T106" s="219" t="str">
        <f t="shared" si="13"/>
        <v>SourceStreamClass_</v>
      </c>
      <c r="U106" s="45"/>
      <c r="V106" s="220" t="b">
        <f t="shared" si="14"/>
        <v>0</v>
      </c>
      <c r="W106" s="219" t="str">
        <f t="shared" si="15"/>
        <v/>
      </c>
      <c r="X106" s="638" t="str">
        <f t="shared" si="16"/>
        <v/>
      </c>
      <c r="Y106" s="355" t="str">
        <f t="shared" si="17"/>
        <v>netaik.</v>
      </c>
      <c r="Z106" s="223" t="str">
        <f>IF(E106="","",IF(MATCH(E106,EUConst_TierActivityListNames,0)&gt;40,MAX(Z$68:Z105)+1,""))</f>
        <v/>
      </c>
      <c r="AA106" s="45"/>
      <c r="AB106" s="219" t="b">
        <f t="shared" si="9"/>
        <v>0</v>
      </c>
    </row>
    <row r="107" spans="1:28" s="59" customFormat="1" hidden="1">
      <c r="A107" s="45"/>
      <c r="B107" s="791"/>
      <c r="C107" s="727"/>
      <c r="D107" s="64" t="s">
        <v>422</v>
      </c>
      <c r="E107" s="1475"/>
      <c r="F107" s="1476"/>
      <c r="G107" s="1476"/>
      <c r="H107" s="1477"/>
      <c r="I107" s="1478"/>
      <c r="J107" s="1479"/>
      <c r="K107" s="1480"/>
      <c r="L107" s="1475"/>
      <c r="M107" s="1477"/>
      <c r="N107" s="1159" t="str">
        <f t="shared" si="10"/>
        <v/>
      </c>
      <c r="O107" s="1160"/>
      <c r="P107" s="45"/>
      <c r="Q107" s="45"/>
      <c r="R107" s="219" t="b">
        <f t="shared" si="11"/>
        <v>0</v>
      </c>
      <c r="S107" s="219" t="str">
        <f t="shared" si="12"/>
        <v>SourceStreamName_</v>
      </c>
      <c r="T107" s="219" t="str">
        <f t="shared" si="13"/>
        <v>SourceStreamClass_</v>
      </c>
      <c r="U107" s="45"/>
      <c r="V107" s="220" t="b">
        <f t="shared" si="14"/>
        <v>0</v>
      </c>
      <c r="W107" s="219" t="str">
        <f t="shared" si="15"/>
        <v/>
      </c>
      <c r="X107" s="638" t="str">
        <f t="shared" si="16"/>
        <v/>
      </c>
      <c r="Y107" s="355" t="str">
        <f t="shared" si="17"/>
        <v>netaik.</v>
      </c>
      <c r="Z107" s="223" t="str">
        <f>IF(E107="","",IF(MATCH(E107,EUConst_TierActivityListNames,0)&gt;40,MAX(Z$68:Z106)+1,""))</f>
        <v/>
      </c>
      <c r="AA107" s="45"/>
      <c r="AB107" s="219" t="b">
        <f t="shared" si="9"/>
        <v>0</v>
      </c>
    </row>
    <row r="108" spans="1:28" s="59" customFormat="1" hidden="1">
      <c r="A108" s="45"/>
      <c r="B108" s="791"/>
      <c r="C108" s="727"/>
      <c r="D108" s="64" t="s">
        <v>423</v>
      </c>
      <c r="E108" s="1475"/>
      <c r="F108" s="1476"/>
      <c r="G108" s="1476"/>
      <c r="H108" s="1477"/>
      <c r="I108" s="1478"/>
      <c r="J108" s="1479"/>
      <c r="K108" s="1480"/>
      <c r="L108" s="1475"/>
      <c r="M108" s="1477"/>
      <c r="N108" s="1159" t="str">
        <f t="shared" si="10"/>
        <v/>
      </c>
      <c r="O108" s="1160"/>
      <c r="P108" s="45"/>
      <c r="Q108" s="45"/>
      <c r="R108" s="219" t="b">
        <f t="shared" si="11"/>
        <v>0</v>
      </c>
      <c r="S108" s="219" t="str">
        <f t="shared" si="12"/>
        <v>SourceStreamName_</v>
      </c>
      <c r="T108" s="219" t="str">
        <f t="shared" si="13"/>
        <v>SourceStreamClass_</v>
      </c>
      <c r="U108" s="45"/>
      <c r="V108" s="220" t="b">
        <f t="shared" si="14"/>
        <v>0</v>
      </c>
      <c r="W108" s="219" t="str">
        <f t="shared" si="15"/>
        <v/>
      </c>
      <c r="X108" s="638" t="str">
        <f t="shared" si="16"/>
        <v/>
      </c>
      <c r="Y108" s="355" t="str">
        <f t="shared" si="17"/>
        <v>netaik.</v>
      </c>
      <c r="Z108" s="223" t="str">
        <f>IF(E108="","",IF(MATCH(E108,EUConst_TierActivityListNames,0)&gt;40,MAX(Z$68:Z107)+1,""))</f>
        <v/>
      </c>
      <c r="AA108" s="45"/>
      <c r="AB108" s="219" t="b">
        <f t="shared" si="9"/>
        <v>0</v>
      </c>
    </row>
    <row r="109" spans="1:28" s="59" customFormat="1" hidden="1">
      <c r="A109" s="45"/>
      <c r="B109" s="791"/>
      <c r="C109" s="727"/>
      <c r="D109" s="64" t="s">
        <v>424</v>
      </c>
      <c r="E109" s="1475"/>
      <c r="F109" s="1476"/>
      <c r="G109" s="1476"/>
      <c r="H109" s="1477"/>
      <c r="I109" s="1478"/>
      <c r="J109" s="1479"/>
      <c r="K109" s="1480"/>
      <c r="L109" s="1475"/>
      <c r="M109" s="1477"/>
      <c r="N109" s="1159" t="str">
        <f t="shared" si="10"/>
        <v/>
      </c>
      <c r="O109" s="1160"/>
      <c r="P109" s="45"/>
      <c r="Q109" s="45"/>
      <c r="R109" s="219" t="b">
        <f t="shared" si="11"/>
        <v>0</v>
      </c>
      <c r="S109" s="219" t="str">
        <f t="shared" si="12"/>
        <v>SourceStreamName_</v>
      </c>
      <c r="T109" s="219" t="str">
        <f t="shared" si="13"/>
        <v>SourceStreamClass_</v>
      </c>
      <c r="U109" s="45"/>
      <c r="V109" s="220" t="b">
        <f t="shared" si="14"/>
        <v>0</v>
      </c>
      <c r="W109" s="219" t="str">
        <f t="shared" si="15"/>
        <v/>
      </c>
      <c r="X109" s="638" t="str">
        <f t="shared" si="16"/>
        <v/>
      </c>
      <c r="Y109" s="355" t="str">
        <f t="shared" si="17"/>
        <v>netaik.</v>
      </c>
      <c r="Z109" s="223" t="str">
        <f>IF(E109="","",IF(MATCH(E109,EUConst_TierActivityListNames,0)&gt;40,MAX(Z$68:Z108)+1,""))</f>
        <v/>
      </c>
      <c r="AA109" s="45"/>
      <c r="AB109" s="219" t="b">
        <f t="shared" si="9"/>
        <v>0</v>
      </c>
    </row>
    <row r="110" spans="1:28" s="59" customFormat="1" hidden="1">
      <c r="A110" s="45"/>
      <c r="B110" s="791"/>
      <c r="C110" s="727"/>
      <c r="D110" s="64" t="s">
        <v>425</v>
      </c>
      <c r="E110" s="1475"/>
      <c r="F110" s="1476"/>
      <c r="G110" s="1476"/>
      <c r="H110" s="1477"/>
      <c r="I110" s="1478"/>
      <c r="J110" s="1479"/>
      <c r="K110" s="1480"/>
      <c r="L110" s="1475"/>
      <c r="M110" s="1477"/>
      <c r="N110" s="1159" t="str">
        <f t="shared" si="10"/>
        <v/>
      </c>
      <c r="O110" s="1160"/>
      <c r="P110" s="47"/>
      <c r="Q110" s="45"/>
      <c r="R110" s="219" t="b">
        <f t="shared" si="11"/>
        <v>0</v>
      </c>
      <c r="S110" s="219" t="str">
        <f t="shared" si="12"/>
        <v>SourceStreamName_</v>
      </c>
      <c r="T110" s="219" t="str">
        <f t="shared" si="13"/>
        <v>SourceStreamClass_</v>
      </c>
      <c r="U110" s="45"/>
      <c r="V110" s="220" t="b">
        <f t="shared" si="14"/>
        <v>0</v>
      </c>
      <c r="W110" s="219" t="str">
        <f t="shared" si="15"/>
        <v/>
      </c>
      <c r="X110" s="638" t="str">
        <f t="shared" si="16"/>
        <v/>
      </c>
      <c r="Y110" s="355" t="str">
        <f t="shared" si="17"/>
        <v>netaik.</v>
      </c>
      <c r="Z110" s="223" t="str">
        <f>IF(E110="","",IF(MATCH(E110,EUConst_TierActivityListNames,0)&gt;40,MAX(Z$68:Z109)+1,""))</f>
        <v/>
      </c>
      <c r="AA110" s="45"/>
      <c r="AB110" s="219" t="b">
        <f t="shared" si="9"/>
        <v>0</v>
      </c>
    </row>
    <row r="111" spans="1:28" s="59" customFormat="1" hidden="1">
      <c r="A111" s="45"/>
      <c r="B111" s="791"/>
      <c r="C111" s="727"/>
      <c r="D111" s="64" t="s">
        <v>426</v>
      </c>
      <c r="E111" s="1475"/>
      <c r="F111" s="1476"/>
      <c r="G111" s="1476"/>
      <c r="H111" s="1477"/>
      <c r="I111" s="1478"/>
      <c r="J111" s="1479"/>
      <c r="K111" s="1480"/>
      <c r="L111" s="1475"/>
      <c r="M111" s="1477"/>
      <c r="N111" s="1159" t="str">
        <f t="shared" si="10"/>
        <v/>
      </c>
      <c r="O111" s="1160"/>
      <c r="P111" s="45"/>
      <c r="Q111" s="45"/>
      <c r="R111" s="219" t="b">
        <f t="shared" si="11"/>
        <v>0</v>
      </c>
      <c r="S111" s="219" t="str">
        <f t="shared" si="12"/>
        <v>SourceStreamName_</v>
      </c>
      <c r="T111" s="219" t="str">
        <f t="shared" si="13"/>
        <v>SourceStreamClass_</v>
      </c>
      <c r="U111" s="45"/>
      <c r="V111" s="220" t="b">
        <f t="shared" si="14"/>
        <v>0</v>
      </c>
      <c r="W111" s="219" t="str">
        <f t="shared" si="15"/>
        <v/>
      </c>
      <c r="X111" s="638" t="str">
        <f t="shared" si="16"/>
        <v/>
      </c>
      <c r="Y111" s="355" t="str">
        <f t="shared" si="17"/>
        <v>netaik.</v>
      </c>
      <c r="Z111" s="223" t="str">
        <f>IF(E111="","",IF(MATCH(E111,EUConst_TierActivityListNames,0)&gt;40,MAX(Z$68:Z110)+1,""))</f>
        <v/>
      </c>
      <c r="AA111" s="45"/>
      <c r="AB111" s="219" t="b">
        <f t="shared" si="9"/>
        <v>0</v>
      </c>
    </row>
    <row r="112" spans="1:28" s="59" customFormat="1" hidden="1">
      <c r="A112" s="45"/>
      <c r="B112" s="791"/>
      <c r="C112" s="727"/>
      <c r="D112" s="64" t="s">
        <v>427</v>
      </c>
      <c r="E112" s="1475"/>
      <c r="F112" s="1476"/>
      <c r="G112" s="1476"/>
      <c r="H112" s="1477"/>
      <c r="I112" s="1478"/>
      <c r="J112" s="1479"/>
      <c r="K112" s="1480"/>
      <c r="L112" s="1475"/>
      <c r="M112" s="1477"/>
      <c r="N112" s="1159" t="str">
        <f t="shared" si="10"/>
        <v/>
      </c>
      <c r="O112" s="1160"/>
      <c r="P112" s="45"/>
      <c r="Q112" s="45"/>
      <c r="R112" s="219" t="b">
        <f t="shared" si="11"/>
        <v>0</v>
      </c>
      <c r="S112" s="219" t="str">
        <f t="shared" si="12"/>
        <v>SourceStreamName_</v>
      </c>
      <c r="T112" s="219" t="str">
        <f t="shared" si="13"/>
        <v>SourceStreamClass_</v>
      </c>
      <c r="U112" s="45"/>
      <c r="V112" s="220" t="b">
        <f t="shared" si="14"/>
        <v>0</v>
      </c>
      <c r="W112" s="219" t="str">
        <f t="shared" si="15"/>
        <v/>
      </c>
      <c r="X112" s="638" t="str">
        <f t="shared" si="16"/>
        <v/>
      </c>
      <c r="Y112" s="355" t="str">
        <f t="shared" si="17"/>
        <v>netaik.</v>
      </c>
      <c r="Z112" s="223" t="str">
        <f>IF(E112="","",IF(MATCH(E112,EUConst_TierActivityListNames,0)&gt;40,MAX(Z$68:Z111)+1,""))</f>
        <v/>
      </c>
      <c r="AA112" s="45"/>
      <c r="AB112" s="219" t="b">
        <f t="shared" si="9"/>
        <v>0</v>
      </c>
    </row>
    <row r="113" spans="1:28" s="59" customFormat="1" hidden="1">
      <c r="A113" s="45"/>
      <c r="B113" s="791"/>
      <c r="C113" s="727"/>
      <c r="D113" s="64" t="s">
        <v>428</v>
      </c>
      <c r="E113" s="1475"/>
      <c r="F113" s="1476"/>
      <c r="G113" s="1476"/>
      <c r="H113" s="1477"/>
      <c r="I113" s="1478"/>
      <c r="J113" s="1479"/>
      <c r="K113" s="1480"/>
      <c r="L113" s="1475"/>
      <c r="M113" s="1477"/>
      <c r="N113" s="1159" t="str">
        <f t="shared" si="10"/>
        <v/>
      </c>
      <c r="O113" s="1160"/>
      <c r="P113" s="45"/>
      <c r="Q113" s="45"/>
      <c r="R113" s="219" t="b">
        <f t="shared" si="11"/>
        <v>0</v>
      </c>
      <c r="S113" s="219" t="str">
        <f t="shared" si="12"/>
        <v>SourceStreamName_</v>
      </c>
      <c r="T113" s="219" t="str">
        <f t="shared" si="13"/>
        <v>SourceStreamClass_</v>
      </c>
      <c r="U113" s="45"/>
      <c r="V113" s="220" t="b">
        <f t="shared" si="14"/>
        <v>0</v>
      </c>
      <c r="W113" s="219" t="str">
        <f t="shared" si="15"/>
        <v/>
      </c>
      <c r="X113" s="638" t="str">
        <f t="shared" si="16"/>
        <v/>
      </c>
      <c r="Y113" s="355" t="str">
        <f t="shared" si="17"/>
        <v>netaik.</v>
      </c>
      <c r="Z113" s="223" t="str">
        <f>IF(E113="","",IF(MATCH(E113,EUConst_TierActivityListNames,0)&gt;40,MAX(Z$68:Z112)+1,""))</f>
        <v/>
      </c>
      <c r="AA113" s="45"/>
      <c r="AB113" s="219" t="b">
        <f t="shared" si="9"/>
        <v>0</v>
      </c>
    </row>
    <row r="114" spans="1:28" s="59" customFormat="1" hidden="1">
      <c r="A114" s="45"/>
      <c r="B114" s="791"/>
      <c r="C114" s="727"/>
      <c r="D114" s="64" t="s">
        <v>429</v>
      </c>
      <c r="E114" s="1475"/>
      <c r="F114" s="1476"/>
      <c r="G114" s="1476"/>
      <c r="H114" s="1477"/>
      <c r="I114" s="1478"/>
      <c r="J114" s="1479"/>
      <c r="K114" s="1480"/>
      <c r="L114" s="1475"/>
      <c r="M114" s="1477"/>
      <c r="N114" s="1159" t="str">
        <f t="shared" si="10"/>
        <v/>
      </c>
      <c r="O114" s="1160"/>
      <c r="P114" s="45"/>
      <c r="Q114" s="45"/>
      <c r="R114" s="219" t="b">
        <f t="shared" si="11"/>
        <v>0</v>
      </c>
      <c r="S114" s="219" t="str">
        <f t="shared" si="12"/>
        <v>SourceStreamName_</v>
      </c>
      <c r="T114" s="219" t="str">
        <f t="shared" si="13"/>
        <v>SourceStreamClass_</v>
      </c>
      <c r="U114" s="45"/>
      <c r="V114" s="220" t="b">
        <f t="shared" si="14"/>
        <v>0</v>
      </c>
      <c r="W114" s="219" t="str">
        <f t="shared" si="15"/>
        <v/>
      </c>
      <c r="X114" s="638" t="str">
        <f t="shared" si="16"/>
        <v/>
      </c>
      <c r="Y114" s="355" t="str">
        <f t="shared" si="17"/>
        <v>netaik.</v>
      </c>
      <c r="Z114" s="223" t="str">
        <f>IF(E114="","",IF(MATCH(E114,EUConst_TierActivityListNames,0)&gt;40,MAX(Z$68:Z113)+1,""))</f>
        <v/>
      </c>
      <c r="AA114" s="45"/>
      <c r="AB114" s="219" t="b">
        <f t="shared" si="9"/>
        <v>0</v>
      </c>
    </row>
    <row r="115" spans="1:28" s="59" customFormat="1" hidden="1">
      <c r="A115" s="45"/>
      <c r="B115" s="791"/>
      <c r="C115" s="727"/>
      <c r="D115" s="64" t="s">
        <v>430</v>
      </c>
      <c r="E115" s="1475"/>
      <c r="F115" s="1476"/>
      <c r="G115" s="1476"/>
      <c r="H115" s="1477"/>
      <c r="I115" s="1478"/>
      <c r="J115" s="1479"/>
      <c r="K115" s="1480"/>
      <c r="L115" s="1475"/>
      <c r="M115" s="1477"/>
      <c r="N115" s="1159" t="str">
        <f t="shared" si="10"/>
        <v/>
      </c>
      <c r="O115" s="1160"/>
      <c r="P115" s="47"/>
      <c r="Q115" s="45"/>
      <c r="R115" s="219" t="b">
        <f t="shared" si="11"/>
        <v>0</v>
      </c>
      <c r="S115" s="219" t="str">
        <f t="shared" si="12"/>
        <v>SourceStreamName_</v>
      </c>
      <c r="T115" s="219" t="str">
        <f t="shared" si="13"/>
        <v>SourceStreamClass_</v>
      </c>
      <c r="U115" s="45"/>
      <c r="V115" s="220" t="b">
        <f t="shared" si="14"/>
        <v>0</v>
      </c>
      <c r="W115" s="219" t="str">
        <f t="shared" si="15"/>
        <v/>
      </c>
      <c r="X115" s="638" t="str">
        <f t="shared" si="16"/>
        <v/>
      </c>
      <c r="Y115" s="355" t="str">
        <f t="shared" si="17"/>
        <v>netaik.</v>
      </c>
      <c r="Z115" s="223" t="str">
        <f>IF(E115="","",IF(MATCH(E115,EUConst_TierActivityListNames,0)&gt;40,MAX(Z$68:Z114)+1,""))</f>
        <v/>
      </c>
      <c r="AA115" s="45"/>
      <c r="AB115" s="219" t="b">
        <f t="shared" si="9"/>
        <v>0</v>
      </c>
    </row>
    <row r="116" spans="1:28" s="59" customFormat="1" hidden="1">
      <c r="A116" s="45"/>
      <c r="B116" s="791"/>
      <c r="C116" s="727"/>
      <c r="D116" s="64" t="s">
        <v>431</v>
      </c>
      <c r="E116" s="1475"/>
      <c r="F116" s="1476"/>
      <c r="G116" s="1476"/>
      <c r="H116" s="1477"/>
      <c r="I116" s="1478"/>
      <c r="J116" s="1479"/>
      <c r="K116" s="1480"/>
      <c r="L116" s="1475"/>
      <c r="M116" s="1477"/>
      <c r="N116" s="1159" t="str">
        <f t="shared" si="10"/>
        <v/>
      </c>
      <c r="O116" s="1160"/>
      <c r="P116" s="45"/>
      <c r="Q116" s="45"/>
      <c r="R116" s="219" t="b">
        <f t="shared" si="11"/>
        <v>0</v>
      </c>
      <c r="S116" s="219" t="str">
        <f t="shared" si="12"/>
        <v>SourceStreamName_</v>
      </c>
      <c r="T116" s="219" t="str">
        <f t="shared" si="13"/>
        <v>SourceStreamClass_</v>
      </c>
      <c r="U116" s="45"/>
      <c r="V116" s="220" t="b">
        <f t="shared" si="14"/>
        <v>0</v>
      </c>
      <c r="W116" s="219" t="str">
        <f t="shared" si="15"/>
        <v/>
      </c>
      <c r="X116" s="638" t="str">
        <f t="shared" si="16"/>
        <v/>
      </c>
      <c r="Y116" s="355" t="str">
        <f t="shared" si="17"/>
        <v>netaik.</v>
      </c>
      <c r="Z116" s="223" t="str">
        <f>IF(E116="","",IF(MATCH(E116,EUConst_TierActivityListNames,0)&gt;40,MAX(Z$68:Z115)+1,""))</f>
        <v/>
      </c>
      <c r="AA116" s="45"/>
      <c r="AB116" s="219" t="b">
        <f t="shared" si="9"/>
        <v>0</v>
      </c>
    </row>
    <row r="117" spans="1:28" s="59" customFormat="1" hidden="1">
      <c r="A117" s="45"/>
      <c r="B117" s="791"/>
      <c r="C117" s="727"/>
      <c r="D117" s="64" t="s">
        <v>432</v>
      </c>
      <c r="E117" s="1475"/>
      <c r="F117" s="1476"/>
      <c r="G117" s="1476"/>
      <c r="H117" s="1477"/>
      <c r="I117" s="1478"/>
      <c r="J117" s="1479"/>
      <c r="K117" s="1480"/>
      <c r="L117" s="1475"/>
      <c r="M117" s="1477"/>
      <c r="N117" s="1159" t="str">
        <f t="shared" si="10"/>
        <v/>
      </c>
      <c r="O117" s="1160"/>
      <c r="P117" s="45"/>
      <c r="Q117" s="45"/>
      <c r="R117" s="219" t="b">
        <f t="shared" si="11"/>
        <v>0</v>
      </c>
      <c r="S117" s="219" t="str">
        <f t="shared" si="12"/>
        <v>SourceStreamName_</v>
      </c>
      <c r="T117" s="219" t="str">
        <f t="shared" si="13"/>
        <v>SourceStreamClass_</v>
      </c>
      <c r="U117" s="45"/>
      <c r="V117" s="220" t="b">
        <f t="shared" si="14"/>
        <v>0</v>
      </c>
      <c r="W117" s="219" t="str">
        <f t="shared" si="15"/>
        <v/>
      </c>
      <c r="X117" s="638" t="str">
        <f t="shared" si="16"/>
        <v/>
      </c>
      <c r="Y117" s="355" t="str">
        <f t="shared" si="17"/>
        <v>netaik.</v>
      </c>
      <c r="Z117" s="223" t="str">
        <f>IF(E117="","",IF(MATCH(E117,EUConst_TierActivityListNames,0)&gt;40,MAX(Z$68:Z116)+1,""))</f>
        <v/>
      </c>
      <c r="AA117" s="45"/>
      <c r="AB117" s="219" t="b">
        <f t="shared" si="9"/>
        <v>0</v>
      </c>
    </row>
    <row r="118" spans="1:28" s="59" customFormat="1" hidden="1">
      <c r="A118" s="45"/>
      <c r="B118" s="791"/>
      <c r="C118" s="727"/>
      <c r="D118" s="64" t="s">
        <v>433</v>
      </c>
      <c r="E118" s="1475"/>
      <c r="F118" s="1476"/>
      <c r="G118" s="1476"/>
      <c r="H118" s="1477"/>
      <c r="I118" s="1478"/>
      <c r="J118" s="1479"/>
      <c r="K118" s="1480"/>
      <c r="L118" s="1475"/>
      <c r="M118" s="1477"/>
      <c r="N118" s="1159" t="str">
        <f t="shared" si="10"/>
        <v/>
      </c>
      <c r="O118" s="1160"/>
      <c r="P118" s="45"/>
      <c r="Q118" s="45"/>
      <c r="R118" s="219" t="b">
        <f t="shared" si="11"/>
        <v>0</v>
      </c>
      <c r="S118" s="219" t="str">
        <f t="shared" si="12"/>
        <v>SourceStreamName_</v>
      </c>
      <c r="T118" s="219" t="str">
        <f t="shared" si="13"/>
        <v>SourceStreamClass_</v>
      </c>
      <c r="U118" s="45"/>
      <c r="V118" s="220" t="b">
        <f t="shared" si="14"/>
        <v>0</v>
      </c>
      <c r="W118" s="219" t="str">
        <f t="shared" si="15"/>
        <v/>
      </c>
      <c r="X118" s="638" t="str">
        <f t="shared" si="16"/>
        <v/>
      </c>
      <c r="Y118" s="355" t="str">
        <f t="shared" si="17"/>
        <v>netaik.</v>
      </c>
      <c r="Z118" s="223" t="str">
        <f>IF(E118="","",IF(MATCH(E118,EUConst_TierActivityListNames,0)&gt;40,MAX(Z$68:Z117)+1,""))</f>
        <v/>
      </c>
      <c r="AA118" s="45"/>
      <c r="AB118" s="219" t="b">
        <f t="shared" si="9"/>
        <v>0</v>
      </c>
    </row>
    <row r="119" spans="1:28" s="59" customFormat="1" hidden="1">
      <c r="A119" s="45"/>
      <c r="B119" s="791"/>
      <c r="C119" s="727"/>
      <c r="D119" s="64" t="s">
        <v>434</v>
      </c>
      <c r="E119" s="1475"/>
      <c r="F119" s="1476"/>
      <c r="G119" s="1476"/>
      <c r="H119" s="1477"/>
      <c r="I119" s="1478"/>
      <c r="J119" s="1479"/>
      <c r="K119" s="1480"/>
      <c r="L119" s="1475"/>
      <c r="M119" s="1477"/>
      <c r="N119" s="1159" t="str">
        <f t="shared" si="10"/>
        <v/>
      </c>
      <c r="O119" s="1160"/>
      <c r="P119" s="45"/>
      <c r="Q119" s="45"/>
      <c r="R119" s="219" t="b">
        <f t="shared" si="11"/>
        <v>0</v>
      </c>
      <c r="S119" s="219" t="str">
        <f t="shared" si="12"/>
        <v>SourceStreamName_</v>
      </c>
      <c r="T119" s="219" t="str">
        <f t="shared" si="13"/>
        <v>SourceStreamClass_</v>
      </c>
      <c r="U119" s="45"/>
      <c r="V119" s="220" t="b">
        <f t="shared" si="14"/>
        <v>0</v>
      </c>
      <c r="W119" s="219" t="str">
        <f t="shared" si="15"/>
        <v/>
      </c>
      <c r="X119" s="638" t="str">
        <f t="shared" si="16"/>
        <v/>
      </c>
      <c r="Y119" s="355" t="str">
        <f t="shared" si="17"/>
        <v>netaik.</v>
      </c>
      <c r="Z119" s="223" t="str">
        <f>IF(E119="","",IF(MATCH(E119,EUConst_TierActivityListNames,0)&gt;40,MAX(Z$68:Z118)+1,""))</f>
        <v/>
      </c>
      <c r="AA119" s="45"/>
      <c r="AB119" s="219" t="b">
        <f t="shared" si="9"/>
        <v>0</v>
      </c>
    </row>
    <row r="120" spans="1:28" s="59" customFormat="1" hidden="1">
      <c r="A120" s="45"/>
      <c r="B120" s="791"/>
      <c r="C120" s="727"/>
      <c r="D120" s="64" t="s">
        <v>435</v>
      </c>
      <c r="E120" s="1475"/>
      <c r="F120" s="1476"/>
      <c r="G120" s="1476"/>
      <c r="H120" s="1477"/>
      <c r="I120" s="1478"/>
      <c r="J120" s="1479"/>
      <c r="K120" s="1480"/>
      <c r="L120" s="1475"/>
      <c r="M120" s="1477"/>
      <c r="N120" s="1159" t="str">
        <f t="shared" si="10"/>
        <v/>
      </c>
      <c r="O120" s="1160"/>
      <c r="P120" s="47"/>
      <c r="Q120" s="45"/>
      <c r="R120" s="219" t="b">
        <f t="shared" si="11"/>
        <v>0</v>
      </c>
      <c r="S120" s="219" t="str">
        <f t="shared" si="12"/>
        <v>SourceStreamName_</v>
      </c>
      <c r="T120" s="219" t="str">
        <f t="shared" si="13"/>
        <v>SourceStreamClass_</v>
      </c>
      <c r="U120" s="45"/>
      <c r="V120" s="220" t="b">
        <f t="shared" si="14"/>
        <v>0</v>
      </c>
      <c r="W120" s="219" t="str">
        <f t="shared" si="15"/>
        <v/>
      </c>
      <c r="X120" s="638" t="str">
        <f t="shared" si="16"/>
        <v/>
      </c>
      <c r="Y120" s="355" t="str">
        <f t="shared" si="17"/>
        <v>netaik.</v>
      </c>
      <c r="Z120" s="223" t="str">
        <f>IF(E120="","",IF(MATCH(E120,EUConst_TierActivityListNames,0)&gt;40,MAX(Z$68:Z119)+1,""))</f>
        <v/>
      </c>
      <c r="AA120" s="45"/>
      <c r="AB120" s="219" t="b">
        <f t="shared" ref="AB120:AB144" si="18">AB119</f>
        <v>0</v>
      </c>
    </row>
    <row r="121" spans="1:28" s="59" customFormat="1" hidden="1">
      <c r="A121" s="45"/>
      <c r="B121" s="791"/>
      <c r="C121" s="727"/>
      <c r="D121" s="64" t="s">
        <v>514</v>
      </c>
      <c r="E121" s="1475"/>
      <c r="F121" s="1476"/>
      <c r="G121" s="1476"/>
      <c r="H121" s="1477"/>
      <c r="I121" s="1478"/>
      <c r="J121" s="1479"/>
      <c r="K121" s="1480"/>
      <c r="L121" s="1475"/>
      <c r="M121" s="1477"/>
      <c r="N121" s="1159" t="str">
        <f t="shared" si="10"/>
        <v/>
      </c>
      <c r="O121" s="1160"/>
      <c r="P121" s="45"/>
      <c r="Q121" s="45"/>
      <c r="R121" s="219" t="b">
        <f t="shared" si="11"/>
        <v>0</v>
      </c>
      <c r="S121" s="219" t="str">
        <f t="shared" si="12"/>
        <v>SourceStreamName_</v>
      </c>
      <c r="T121" s="219" t="str">
        <f t="shared" si="13"/>
        <v>SourceStreamClass_</v>
      </c>
      <c r="U121" s="45"/>
      <c r="V121" s="220" t="b">
        <f t="shared" si="14"/>
        <v>0</v>
      </c>
      <c r="W121" s="219" t="str">
        <f t="shared" si="15"/>
        <v/>
      </c>
      <c r="X121" s="638" t="str">
        <f t="shared" si="16"/>
        <v/>
      </c>
      <c r="Y121" s="355" t="str">
        <f t="shared" si="17"/>
        <v>netaik.</v>
      </c>
      <c r="Z121" s="223" t="str">
        <f>IF(E121="","",IF(MATCH(E121,EUConst_TierActivityListNames,0)&gt;40,MAX(Z$68:Z120)+1,""))</f>
        <v/>
      </c>
      <c r="AA121" s="45"/>
      <c r="AB121" s="219" t="b">
        <f t="shared" si="18"/>
        <v>0</v>
      </c>
    </row>
    <row r="122" spans="1:28" s="59" customFormat="1" hidden="1">
      <c r="A122" s="45"/>
      <c r="B122" s="791"/>
      <c r="C122" s="727"/>
      <c r="D122" s="64" t="s">
        <v>515</v>
      </c>
      <c r="E122" s="1475"/>
      <c r="F122" s="1476"/>
      <c r="G122" s="1476"/>
      <c r="H122" s="1477"/>
      <c r="I122" s="1478"/>
      <c r="J122" s="1479"/>
      <c r="K122" s="1480"/>
      <c r="L122" s="1475"/>
      <c r="M122" s="1477"/>
      <c r="N122" s="1159" t="str">
        <f t="shared" si="10"/>
        <v/>
      </c>
      <c r="O122" s="1160"/>
      <c r="P122" s="45"/>
      <c r="Q122" s="45"/>
      <c r="R122" s="219" t="b">
        <f t="shared" si="11"/>
        <v>0</v>
      </c>
      <c r="S122" s="219" t="str">
        <f t="shared" si="12"/>
        <v>SourceStreamName_</v>
      </c>
      <c r="T122" s="219" t="str">
        <f t="shared" si="13"/>
        <v>SourceStreamClass_</v>
      </c>
      <c r="U122" s="45"/>
      <c r="V122" s="220" t="b">
        <f t="shared" si="14"/>
        <v>0</v>
      </c>
      <c r="W122" s="219" t="str">
        <f t="shared" si="15"/>
        <v/>
      </c>
      <c r="X122" s="638" t="str">
        <f t="shared" si="16"/>
        <v/>
      </c>
      <c r="Y122" s="355" t="str">
        <f t="shared" si="17"/>
        <v>netaik.</v>
      </c>
      <c r="Z122" s="223" t="str">
        <f>IF(E122="","",IF(MATCH(E122,EUConst_TierActivityListNames,0)&gt;40,MAX(Z$68:Z121)+1,""))</f>
        <v/>
      </c>
      <c r="AA122" s="45"/>
      <c r="AB122" s="219" t="b">
        <f t="shared" si="18"/>
        <v>0</v>
      </c>
    </row>
    <row r="123" spans="1:28" s="59" customFormat="1" ht="9.75" hidden="1" customHeight="1">
      <c r="A123" s="45"/>
      <c r="B123" s="791"/>
      <c r="C123" s="727"/>
      <c r="D123" s="64" t="s">
        <v>516</v>
      </c>
      <c r="E123" s="1475"/>
      <c r="F123" s="1476"/>
      <c r="G123" s="1476"/>
      <c r="H123" s="1477"/>
      <c r="I123" s="1478"/>
      <c r="J123" s="1479"/>
      <c r="K123" s="1480"/>
      <c r="L123" s="1475"/>
      <c r="M123" s="1477"/>
      <c r="N123" s="1159" t="str">
        <f t="shared" si="10"/>
        <v/>
      </c>
      <c r="O123" s="1160"/>
      <c r="P123" s="45"/>
      <c r="Q123" s="45"/>
      <c r="R123" s="219" t="b">
        <f t="shared" si="11"/>
        <v>0</v>
      </c>
      <c r="S123" s="219" t="str">
        <f t="shared" si="12"/>
        <v>SourceStreamName_</v>
      </c>
      <c r="T123" s="219" t="str">
        <f t="shared" si="13"/>
        <v>SourceStreamClass_</v>
      </c>
      <c r="U123" s="45"/>
      <c r="V123" s="220" t="b">
        <f t="shared" si="14"/>
        <v>0</v>
      </c>
      <c r="W123" s="219" t="str">
        <f t="shared" si="15"/>
        <v/>
      </c>
      <c r="X123" s="638" t="str">
        <f t="shared" si="16"/>
        <v/>
      </c>
      <c r="Y123" s="355" t="str">
        <f t="shared" si="17"/>
        <v>netaik.</v>
      </c>
      <c r="Z123" s="223" t="str">
        <f>IF(E123="","",IF(MATCH(E123,EUConst_TierActivityListNames,0)&gt;40,MAX(Z$68:Z122)+1,""))</f>
        <v/>
      </c>
      <c r="AA123" s="45"/>
      <c r="AB123" s="219" t="b">
        <f t="shared" si="18"/>
        <v>0</v>
      </c>
    </row>
    <row r="124" spans="1:28" s="59" customFormat="1" hidden="1">
      <c r="A124" s="45"/>
      <c r="B124" s="791"/>
      <c r="C124" s="727"/>
      <c r="D124" s="64" t="s">
        <v>517</v>
      </c>
      <c r="E124" s="1475"/>
      <c r="F124" s="1476"/>
      <c r="G124" s="1476"/>
      <c r="H124" s="1477"/>
      <c r="I124" s="1478"/>
      <c r="J124" s="1479"/>
      <c r="K124" s="1480"/>
      <c r="L124" s="1475"/>
      <c r="M124" s="1477"/>
      <c r="N124" s="1159" t="str">
        <f t="shared" si="10"/>
        <v/>
      </c>
      <c r="O124" s="1160"/>
      <c r="P124" s="45"/>
      <c r="Q124" s="45"/>
      <c r="R124" s="219" t="b">
        <f t="shared" si="11"/>
        <v>0</v>
      </c>
      <c r="S124" s="219" t="str">
        <f t="shared" si="12"/>
        <v>SourceStreamName_</v>
      </c>
      <c r="T124" s="219" t="str">
        <f t="shared" si="13"/>
        <v>SourceStreamClass_</v>
      </c>
      <c r="U124" s="45"/>
      <c r="V124" s="220" t="b">
        <f t="shared" si="14"/>
        <v>0</v>
      </c>
      <c r="W124" s="219" t="str">
        <f t="shared" si="15"/>
        <v/>
      </c>
      <c r="X124" s="638" t="str">
        <f t="shared" si="16"/>
        <v/>
      </c>
      <c r="Y124" s="355" t="str">
        <f t="shared" si="17"/>
        <v>netaik.</v>
      </c>
      <c r="Z124" s="223" t="str">
        <f>IF(E124="","",IF(MATCH(E124,EUConst_TierActivityListNames,0)&gt;40,MAX(Z$68:Z123)+1,""))</f>
        <v/>
      </c>
      <c r="AA124" s="45"/>
      <c r="AB124" s="219" t="b">
        <f t="shared" si="18"/>
        <v>0</v>
      </c>
    </row>
    <row r="125" spans="1:28" s="59" customFormat="1" hidden="1">
      <c r="A125" s="45"/>
      <c r="B125" s="791"/>
      <c r="C125" s="727"/>
      <c r="D125" s="64" t="s">
        <v>518</v>
      </c>
      <c r="E125" s="1475"/>
      <c r="F125" s="1476"/>
      <c r="G125" s="1476"/>
      <c r="H125" s="1477"/>
      <c r="I125" s="1478"/>
      <c r="J125" s="1479"/>
      <c r="K125" s="1480"/>
      <c r="L125" s="1475"/>
      <c r="M125" s="1477"/>
      <c r="N125" s="1159" t="str">
        <f t="shared" si="10"/>
        <v/>
      </c>
      <c r="O125" s="1160"/>
      <c r="P125" s="47"/>
      <c r="Q125" s="45"/>
      <c r="R125" s="219" t="b">
        <f t="shared" si="11"/>
        <v>0</v>
      </c>
      <c r="S125" s="219" t="str">
        <f t="shared" si="12"/>
        <v>SourceStreamName_</v>
      </c>
      <c r="T125" s="219" t="str">
        <f t="shared" si="13"/>
        <v>SourceStreamClass_</v>
      </c>
      <c r="U125" s="45"/>
      <c r="V125" s="220" t="b">
        <f t="shared" si="14"/>
        <v>0</v>
      </c>
      <c r="W125" s="219" t="str">
        <f t="shared" si="15"/>
        <v/>
      </c>
      <c r="X125" s="638" t="str">
        <f t="shared" si="16"/>
        <v/>
      </c>
      <c r="Y125" s="355" t="str">
        <f t="shared" si="17"/>
        <v>netaik.</v>
      </c>
      <c r="Z125" s="223" t="str">
        <f>IF(E125="","",IF(MATCH(E125,EUConst_TierActivityListNames,0)&gt;40,MAX(Z$68:Z124)+1,""))</f>
        <v/>
      </c>
      <c r="AA125" s="45"/>
      <c r="AB125" s="219" t="b">
        <f t="shared" si="18"/>
        <v>0</v>
      </c>
    </row>
    <row r="126" spans="1:28" s="59" customFormat="1" hidden="1">
      <c r="A126" s="45"/>
      <c r="B126" s="791"/>
      <c r="C126" s="727"/>
      <c r="D126" s="64" t="s">
        <v>519</v>
      </c>
      <c r="E126" s="1475"/>
      <c r="F126" s="1476"/>
      <c r="G126" s="1476"/>
      <c r="H126" s="1477"/>
      <c r="I126" s="1478"/>
      <c r="J126" s="1479"/>
      <c r="K126" s="1480"/>
      <c r="L126" s="1475"/>
      <c r="M126" s="1477"/>
      <c r="N126" s="1159" t="str">
        <f t="shared" si="10"/>
        <v/>
      </c>
      <c r="O126" s="1160"/>
      <c r="P126" s="45"/>
      <c r="Q126" s="45"/>
      <c r="R126" s="219" t="b">
        <f t="shared" si="11"/>
        <v>0</v>
      </c>
      <c r="S126" s="219" t="str">
        <f t="shared" si="12"/>
        <v>SourceStreamName_</v>
      </c>
      <c r="T126" s="219" t="str">
        <f t="shared" si="13"/>
        <v>SourceStreamClass_</v>
      </c>
      <c r="U126" s="45"/>
      <c r="V126" s="220" t="b">
        <f t="shared" si="14"/>
        <v>0</v>
      </c>
      <c r="W126" s="219" t="str">
        <f t="shared" si="15"/>
        <v/>
      </c>
      <c r="X126" s="638" t="str">
        <f t="shared" si="16"/>
        <v/>
      </c>
      <c r="Y126" s="355" t="str">
        <f t="shared" si="17"/>
        <v>netaik.</v>
      </c>
      <c r="Z126" s="223" t="str">
        <f>IF(E126="","",IF(MATCH(E126,EUConst_TierActivityListNames,0)&gt;40,MAX(Z$68:Z125)+1,""))</f>
        <v/>
      </c>
      <c r="AA126" s="45"/>
      <c r="AB126" s="219" t="b">
        <f t="shared" si="18"/>
        <v>0</v>
      </c>
    </row>
    <row r="127" spans="1:28" s="59" customFormat="1" hidden="1">
      <c r="A127" s="45"/>
      <c r="B127" s="791"/>
      <c r="C127" s="727"/>
      <c r="D127" s="64" t="s">
        <v>520</v>
      </c>
      <c r="E127" s="1475"/>
      <c r="F127" s="1476"/>
      <c r="G127" s="1476"/>
      <c r="H127" s="1477"/>
      <c r="I127" s="1478"/>
      <c r="J127" s="1479"/>
      <c r="K127" s="1480"/>
      <c r="L127" s="1475"/>
      <c r="M127" s="1477"/>
      <c r="N127" s="1159" t="str">
        <f t="shared" si="10"/>
        <v/>
      </c>
      <c r="O127" s="1160"/>
      <c r="P127" s="45"/>
      <c r="Q127" s="45"/>
      <c r="R127" s="219" t="b">
        <f t="shared" si="11"/>
        <v>0</v>
      </c>
      <c r="S127" s="219" t="str">
        <f t="shared" si="12"/>
        <v>SourceStreamName_</v>
      </c>
      <c r="T127" s="219" t="str">
        <f t="shared" si="13"/>
        <v>SourceStreamClass_</v>
      </c>
      <c r="U127" s="45"/>
      <c r="V127" s="220" t="b">
        <f t="shared" si="14"/>
        <v>0</v>
      </c>
      <c r="W127" s="219" t="str">
        <f t="shared" si="15"/>
        <v/>
      </c>
      <c r="X127" s="638" t="str">
        <f t="shared" si="16"/>
        <v/>
      </c>
      <c r="Y127" s="355" t="str">
        <f t="shared" si="17"/>
        <v>netaik.</v>
      </c>
      <c r="Z127" s="223" t="str">
        <f>IF(E127="","",IF(MATCH(E127,EUConst_TierActivityListNames,0)&gt;40,MAX(Z$68:Z126)+1,""))</f>
        <v/>
      </c>
      <c r="AA127" s="45"/>
      <c r="AB127" s="219" t="b">
        <f t="shared" si="18"/>
        <v>0</v>
      </c>
    </row>
    <row r="128" spans="1:28" s="59" customFormat="1" hidden="1">
      <c r="A128" s="45"/>
      <c r="B128" s="791"/>
      <c r="C128" s="727"/>
      <c r="D128" s="64" t="s">
        <v>521</v>
      </c>
      <c r="E128" s="1475"/>
      <c r="F128" s="1476"/>
      <c r="G128" s="1476"/>
      <c r="H128" s="1477"/>
      <c r="I128" s="1478"/>
      <c r="J128" s="1479"/>
      <c r="K128" s="1480"/>
      <c r="L128" s="1475"/>
      <c r="M128" s="1477"/>
      <c r="N128" s="1159" t="str">
        <f t="shared" si="10"/>
        <v/>
      </c>
      <c r="O128" s="1160"/>
      <c r="P128" s="45"/>
      <c r="Q128" s="45"/>
      <c r="R128" s="219" t="b">
        <f t="shared" si="11"/>
        <v>0</v>
      </c>
      <c r="S128" s="219" t="str">
        <f t="shared" si="12"/>
        <v>SourceStreamName_</v>
      </c>
      <c r="T128" s="219" t="str">
        <f t="shared" si="13"/>
        <v>SourceStreamClass_</v>
      </c>
      <c r="U128" s="45"/>
      <c r="V128" s="220" t="b">
        <f t="shared" si="14"/>
        <v>0</v>
      </c>
      <c r="W128" s="219" t="str">
        <f t="shared" si="15"/>
        <v/>
      </c>
      <c r="X128" s="638" t="str">
        <f t="shared" si="16"/>
        <v/>
      </c>
      <c r="Y128" s="355" t="str">
        <f t="shared" si="17"/>
        <v>netaik.</v>
      </c>
      <c r="Z128" s="223" t="str">
        <f>IF(E128="","",IF(MATCH(E128,EUConst_TierActivityListNames,0)&gt;40,MAX(Z$68:Z127)+1,""))</f>
        <v/>
      </c>
      <c r="AA128" s="45"/>
      <c r="AB128" s="219" t="b">
        <f t="shared" si="18"/>
        <v>0</v>
      </c>
    </row>
    <row r="129" spans="1:28" s="59" customFormat="1" hidden="1">
      <c r="A129" s="45"/>
      <c r="B129" s="791"/>
      <c r="C129" s="727"/>
      <c r="D129" s="64" t="s">
        <v>522</v>
      </c>
      <c r="E129" s="1475"/>
      <c r="F129" s="1476"/>
      <c r="G129" s="1476"/>
      <c r="H129" s="1477"/>
      <c r="I129" s="1478"/>
      <c r="J129" s="1479"/>
      <c r="K129" s="1480"/>
      <c r="L129" s="1475"/>
      <c r="M129" s="1477"/>
      <c r="N129" s="1159" t="str">
        <f t="shared" si="10"/>
        <v/>
      </c>
      <c r="O129" s="1160"/>
      <c r="P129" s="45"/>
      <c r="Q129" s="45"/>
      <c r="R129" s="219" t="b">
        <f t="shared" si="11"/>
        <v>0</v>
      </c>
      <c r="S129" s="219" t="str">
        <f t="shared" si="12"/>
        <v>SourceStreamName_</v>
      </c>
      <c r="T129" s="219" t="str">
        <f t="shared" si="13"/>
        <v>SourceStreamClass_</v>
      </c>
      <c r="U129" s="45"/>
      <c r="V129" s="220" t="b">
        <f t="shared" si="14"/>
        <v>0</v>
      </c>
      <c r="W129" s="219" t="str">
        <f t="shared" si="15"/>
        <v/>
      </c>
      <c r="X129" s="638" t="str">
        <f t="shared" si="16"/>
        <v/>
      </c>
      <c r="Y129" s="355" t="str">
        <f t="shared" si="17"/>
        <v>netaik.</v>
      </c>
      <c r="Z129" s="223" t="str">
        <f>IF(E129="","",IF(MATCH(E129,EUConst_TierActivityListNames,0)&gt;40,MAX(Z$68:Z128)+1,""))</f>
        <v/>
      </c>
      <c r="AA129" s="45"/>
      <c r="AB129" s="219" t="b">
        <f t="shared" si="18"/>
        <v>0</v>
      </c>
    </row>
    <row r="130" spans="1:28" s="59" customFormat="1" hidden="1">
      <c r="A130" s="45"/>
      <c r="B130" s="791"/>
      <c r="C130" s="727"/>
      <c r="D130" s="64" t="s">
        <v>523</v>
      </c>
      <c r="E130" s="1475"/>
      <c r="F130" s="1476"/>
      <c r="G130" s="1476"/>
      <c r="H130" s="1477"/>
      <c r="I130" s="1478"/>
      <c r="J130" s="1479"/>
      <c r="K130" s="1480"/>
      <c r="L130" s="1475"/>
      <c r="M130" s="1477"/>
      <c r="N130" s="1159" t="str">
        <f t="shared" si="10"/>
        <v/>
      </c>
      <c r="O130" s="1160"/>
      <c r="P130" s="47"/>
      <c r="Q130" s="45"/>
      <c r="R130" s="219" t="b">
        <f t="shared" si="11"/>
        <v>0</v>
      </c>
      <c r="S130" s="219" t="str">
        <f t="shared" si="12"/>
        <v>SourceStreamName_</v>
      </c>
      <c r="T130" s="219" t="str">
        <f t="shared" si="13"/>
        <v>SourceStreamClass_</v>
      </c>
      <c r="U130" s="45"/>
      <c r="V130" s="220" t="b">
        <f t="shared" si="14"/>
        <v>0</v>
      </c>
      <c r="W130" s="219" t="str">
        <f t="shared" si="15"/>
        <v/>
      </c>
      <c r="X130" s="638" t="str">
        <f t="shared" si="16"/>
        <v/>
      </c>
      <c r="Y130" s="355" t="str">
        <f t="shared" si="17"/>
        <v>netaik.</v>
      </c>
      <c r="Z130" s="223" t="str">
        <f>IF(E130="","",IF(MATCH(E130,EUConst_TierActivityListNames,0)&gt;40,MAX(Z$68:Z129)+1,""))</f>
        <v/>
      </c>
      <c r="AA130" s="45"/>
      <c r="AB130" s="219" t="b">
        <f t="shared" si="18"/>
        <v>0</v>
      </c>
    </row>
    <row r="131" spans="1:28" s="59" customFormat="1" hidden="1">
      <c r="A131" s="45"/>
      <c r="B131" s="791"/>
      <c r="C131" s="727"/>
      <c r="D131" s="64" t="s">
        <v>524</v>
      </c>
      <c r="E131" s="1475"/>
      <c r="F131" s="1476"/>
      <c r="G131" s="1476"/>
      <c r="H131" s="1477"/>
      <c r="I131" s="1478"/>
      <c r="J131" s="1479"/>
      <c r="K131" s="1480"/>
      <c r="L131" s="1475"/>
      <c r="M131" s="1477"/>
      <c r="N131" s="1159" t="str">
        <f t="shared" si="10"/>
        <v/>
      </c>
      <c r="O131" s="1160"/>
      <c r="P131" s="45"/>
      <c r="Q131" s="45"/>
      <c r="R131" s="219" t="b">
        <f t="shared" si="11"/>
        <v>0</v>
      </c>
      <c r="S131" s="219" t="str">
        <f t="shared" si="12"/>
        <v>SourceStreamName_</v>
      </c>
      <c r="T131" s="219" t="str">
        <f t="shared" si="13"/>
        <v>SourceStreamClass_</v>
      </c>
      <c r="U131" s="45"/>
      <c r="V131" s="220" t="b">
        <f t="shared" si="14"/>
        <v>0</v>
      </c>
      <c r="W131" s="219" t="str">
        <f t="shared" si="15"/>
        <v/>
      </c>
      <c r="X131" s="638" t="str">
        <f t="shared" si="16"/>
        <v/>
      </c>
      <c r="Y131" s="355" t="str">
        <f t="shared" si="17"/>
        <v>netaik.</v>
      </c>
      <c r="Z131" s="223" t="str">
        <f>IF(E131="","",IF(MATCH(E131,EUConst_TierActivityListNames,0)&gt;40,MAX(Z$68:Z130)+1,""))</f>
        <v/>
      </c>
      <c r="AA131" s="45"/>
      <c r="AB131" s="219" t="b">
        <f t="shared" si="18"/>
        <v>0</v>
      </c>
    </row>
    <row r="132" spans="1:28" s="59" customFormat="1" hidden="1">
      <c r="A132" s="45"/>
      <c r="B132" s="791"/>
      <c r="C132" s="727"/>
      <c r="D132" s="64" t="s">
        <v>525</v>
      </c>
      <c r="E132" s="1475"/>
      <c r="F132" s="1476"/>
      <c r="G132" s="1476"/>
      <c r="H132" s="1477"/>
      <c r="I132" s="1478"/>
      <c r="J132" s="1479"/>
      <c r="K132" s="1480"/>
      <c r="L132" s="1475"/>
      <c r="M132" s="1477"/>
      <c r="N132" s="1159" t="str">
        <f t="shared" si="10"/>
        <v/>
      </c>
      <c r="O132" s="1160"/>
      <c r="P132" s="45"/>
      <c r="Q132" s="45"/>
      <c r="R132" s="219" t="b">
        <f t="shared" si="11"/>
        <v>0</v>
      </c>
      <c r="S132" s="219" t="str">
        <f t="shared" si="12"/>
        <v>SourceStreamName_</v>
      </c>
      <c r="T132" s="219" t="str">
        <f t="shared" si="13"/>
        <v>SourceStreamClass_</v>
      </c>
      <c r="U132" s="45"/>
      <c r="V132" s="220" t="b">
        <f t="shared" si="14"/>
        <v>0</v>
      </c>
      <c r="W132" s="219" t="str">
        <f t="shared" si="15"/>
        <v/>
      </c>
      <c r="X132" s="638" t="str">
        <f t="shared" si="16"/>
        <v/>
      </c>
      <c r="Y132" s="355" t="str">
        <f t="shared" si="17"/>
        <v>netaik.</v>
      </c>
      <c r="Z132" s="223" t="str">
        <f>IF(E132="","",IF(MATCH(E132,EUConst_TierActivityListNames,0)&gt;40,MAX(Z$68:Z131)+1,""))</f>
        <v/>
      </c>
      <c r="AA132" s="45"/>
      <c r="AB132" s="219" t="b">
        <f t="shared" si="18"/>
        <v>0</v>
      </c>
    </row>
    <row r="133" spans="1:28" s="59" customFormat="1" hidden="1">
      <c r="A133" s="45"/>
      <c r="B133" s="791"/>
      <c r="C133" s="727"/>
      <c r="D133" s="64" t="s">
        <v>526</v>
      </c>
      <c r="E133" s="1475"/>
      <c r="F133" s="1476"/>
      <c r="G133" s="1476"/>
      <c r="H133" s="1477"/>
      <c r="I133" s="1478"/>
      <c r="J133" s="1479"/>
      <c r="K133" s="1480"/>
      <c r="L133" s="1475"/>
      <c r="M133" s="1477"/>
      <c r="N133" s="1159" t="str">
        <f t="shared" si="10"/>
        <v/>
      </c>
      <c r="O133" s="1160"/>
      <c r="P133" s="45"/>
      <c r="Q133" s="45"/>
      <c r="R133" s="219" t="b">
        <f t="shared" si="11"/>
        <v>0</v>
      </c>
      <c r="S133" s="219" t="str">
        <f t="shared" si="12"/>
        <v>SourceStreamName_</v>
      </c>
      <c r="T133" s="219" t="str">
        <f t="shared" si="13"/>
        <v>SourceStreamClass_</v>
      </c>
      <c r="U133" s="45"/>
      <c r="V133" s="220" t="b">
        <f t="shared" si="14"/>
        <v>0</v>
      </c>
      <c r="W133" s="219" t="str">
        <f t="shared" si="15"/>
        <v/>
      </c>
      <c r="X133" s="638" t="str">
        <f t="shared" si="16"/>
        <v/>
      </c>
      <c r="Y133" s="355" t="str">
        <f t="shared" si="17"/>
        <v>netaik.</v>
      </c>
      <c r="Z133" s="223" t="str">
        <f>IF(E133="","",IF(MATCH(E133,EUConst_TierActivityListNames,0)&gt;40,MAX(Z$68:Z132)+1,""))</f>
        <v/>
      </c>
      <c r="AA133" s="45"/>
      <c r="AB133" s="219" t="b">
        <f t="shared" si="18"/>
        <v>0</v>
      </c>
    </row>
    <row r="134" spans="1:28" s="59" customFormat="1" hidden="1">
      <c r="A134" s="45"/>
      <c r="B134" s="791"/>
      <c r="C134" s="727"/>
      <c r="D134" s="64" t="s">
        <v>527</v>
      </c>
      <c r="E134" s="1475"/>
      <c r="F134" s="1476"/>
      <c r="G134" s="1476"/>
      <c r="H134" s="1477"/>
      <c r="I134" s="1478"/>
      <c r="J134" s="1479"/>
      <c r="K134" s="1480"/>
      <c r="L134" s="1475"/>
      <c r="M134" s="1477"/>
      <c r="N134" s="1159" t="str">
        <f t="shared" si="10"/>
        <v/>
      </c>
      <c r="O134" s="1160"/>
      <c r="P134" s="45"/>
      <c r="Q134" s="45"/>
      <c r="R134" s="219" t="b">
        <f t="shared" si="11"/>
        <v>0</v>
      </c>
      <c r="S134" s="219" t="str">
        <f t="shared" si="12"/>
        <v>SourceStreamName_</v>
      </c>
      <c r="T134" s="219" t="str">
        <f t="shared" si="13"/>
        <v>SourceStreamClass_</v>
      </c>
      <c r="U134" s="45"/>
      <c r="V134" s="220" t="b">
        <f t="shared" si="14"/>
        <v>0</v>
      </c>
      <c r="W134" s="219" t="str">
        <f t="shared" si="15"/>
        <v/>
      </c>
      <c r="X134" s="638" t="str">
        <f t="shared" si="16"/>
        <v/>
      </c>
      <c r="Y134" s="355" t="str">
        <f t="shared" si="17"/>
        <v>netaik.</v>
      </c>
      <c r="Z134" s="223" t="str">
        <f>IF(E134="","",IF(MATCH(E134,EUConst_TierActivityListNames,0)&gt;40,MAX(Z$68:Z133)+1,""))</f>
        <v/>
      </c>
      <c r="AA134" s="45"/>
      <c r="AB134" s="219" t="b">
        <f t="shared" si="18"/>
        <v>0</v>
      </c>
    </row>
    <row r="135" spans="1:28" s="59" customFormat="1" hidden="1">
      <c r="A135" s="45"/>
      <c r="B135" s="791"/>
      <c r="C135" s="727"/>
      <c r="D135" s="64" t="s">
        <v>528</v>
      </c>
      <c r="E135" s="1475"/>
      <c r="F135" s="1476"/>
      <c r="G135" s="1476"/>
      <c r="H135" s="1477"/>
      <c r="I135" s="1478"/>
      <c r="J135" s="1479"/>
      <c r="K135" s="1480"/>
      <c r="L135" s="1475"/>
      <c r="M135" s="1477"/>
      <c r="N135" s="1159" t="str">
        <f t="shared" ref="N135:N145" si="19">IF(R135=TRUE,EUconst_ERR_Inconsistent,IF(E135="","",IF(OR(AND($V135=FALSE,COUNTA(E135:M135)&lt;3),AND($V135=TRUE,COUNTA(E135:K135)&lt;2)),EUconst_ERR_Incomplete,"")))</f>
        <v/>
      </c>
      <c r="O135" s="1160"/>
      <c r="P135" s="47"/>
      <c r="Q135" s="45"/>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5"/>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5"/>
      <c r="AB135" s="219" t="b">
        <f t="shared" si="18"/>
        <v>0</v>
      </c>
    </row>
    <row r="136" spans="1:28" s="59" customFormat="1" hidden="1">
      <c r="A136" s="45"/>
      <c r="B136" s="791"/>
      <c r="C136" s="727"/>
      <c r="D136" s="64" t="s">
        <v>529</v>
      </c>
      <c r="E136" s="1475"/>
      <c r="F136" s="1476"/>
      <c r="G136" s="1476"/>
      <c r="H136" s="1477"/>
      <c r="I136" s="1478"/>
      <c r="J136" s="1479"/>
      <c r="K136" s="1480"/>
      <c r="L136" s="1475"/>
      <c r="M136" s="1477"/>
      <c r="N136" s="1159" t="str">
        <f t="shared" si="19"/>
        <v/>
      </c>
      <c r="O136" s="1160"/>
      <c r="P136" s="45"/>
      <c r="Q136" s="45"/>
      <c r="R136" s="219" t="b">
        <f t="shared" si="20"/>
        <v>0</v>
      </c>
      <c r="S136" s="219" t="str">
        <f t="shared" si="21"/>
        <v>SourceStreamName_</v>
      </c>
      <c r="T136" s="219" t="str">
        <f t="shared" si="22"/>
        <v>SourceStreamClass_</v>
      </c>
      <c r="U136" s="45"/>
      <c r="V136" s="220" t="b">
        <f t="shared" si="23"/>
        <v>0</v>
      </c>
      <c r="W136" s="219" t="str">
        <f t="shared" si="24"/>
        <v/>
      </c>
      <c r="X136" s="638" t="str">
        <f t="shared" si="25"/>
        <v/>
      </c>
      <c r="Y136" s="355" t="str">
        <f t="shared" si="26"/>
        <v>netaik.</v>
      </c>
      <c r="Z136" s="223" t="str">
        <f>IF(E136="","",IF(MATCH(E136,EUConst_TierActivityListNames,0)&gt;40,MAX(Z$68:Z135)+1,""))</f>
        <v/>
      </c>
      <c r="AA136" s="45"/>
      <c r="AB136" s="219" t="b">
        <f t="shared" si="18"/>
        <v>0</v>
      </c>
    </row>
    <row r="137" spans="1:28" s="59" customFormat="1" hidden="1">
      <c r="A137" s="45"/>
      <c r="B137" s="791"/>
      <c r="C137" s="727"/>
      <c r="D137" s="64" t="s">
        <v>530</v>
      </c>
      <c r="E137" s="1475"/>
      <c r="F137" s="1476"/>
      <c r="G137" s="1476"/>
      <c r="H137" s="1477"/>
      <c r="I137" s="1478"/>
      <c r="J137" s="1479"/>
      <c r="K137" s="1480"/>
      <c r="L137" s="1475"/>
      <c r="M137" s="1477"/>
      <c r="N137" s="1159" t="str">
        <f t="shared" si="19"/>
        <v/>
      </c>
      <c r="O137" s="1160"/>
      <c r="P137" s="45"/>
      <c r="Q137" s="45"/>
      <c r="R137" s="219" t="b">
        <f t="shared" si="20"/>
        <v>0</v>
      </c>
      <c r="S137" s="219" t="str">
        <f t="shared" si="21"/>
        <v>SourceStreamName_</v>
      </c>
      <c r="T137" s="219" t="str">
        <f t="shared" si="22"/>
        <v>SourceStreamClass_</v>
      </c>
      <c r="U137" s="45"/>
      <c r="V137" s="220" t="b">
        <f t="shared" si="23"/>
        <v>0</v>
      </c>
      <c r="W137" s="219" t="str">
        <f t="shared" si="24"/>
        <v/>
      </c>
      <c r="X137" s="638" t="str">
        <f t="shared" si="25"/>
        <v/>
      </c>
      <c r="Y137" s="355" t="str">
        <f t="shared" si="26"/>
        <v>netaik.</v>
      </c>
      <c r="Z137" s="223" t="str">
        <f>IF(E137="","",IF(MATCH(E137,EUConst_TierActivityListNames,0)&gt;40,MAX(Z$68:Z136)+1,""))</f>
        <v/>
      </c>
      <c r="AA137" s="45"/>
      <c r="AB137" s="219" t="b">
        <f t="shared" si="18"/>
        <v>0</v>
      </c>
    </row>
    <row r="138" spans="1:28" s="59" customFormat="1" hidden="1">
      <c r="A138" s="45"/>
      <c r="B138" s="791"/>
      <c r="C138" s="727"/>
      <c r="D138" s="64" t="s">
        <v>531</v>
      </c>
      <c r="E138" s="1475"/>
      <c r="F138" s="1476"/>
      <c r="G138" s="1476"/>
      <c r="H138" s="1477"/>
      <c r="I138" s="1478"/>
      <c r="J138" s="1479"/>
      <c r="K138" s="1480"/>
      <c r="L138" s="1475"/>
      <c r="M138" s="1477"/>
      <c r="N138" s="1159" t="str">
        <f t="shared" si="19"/>
        <v/>
      </c>
      <c r="O138" s="1160"/>
      <c r="P138" s="45"/>
      <c r="Q138" s="45"/>
      <c r="R138" s="219" t="b">
        <f t="shared" si="20"/>
        <v>0</v>
      </c>
      <c r="S138" s="219" t="str">
        <f t="shared" si="21"/>
        <v>SourceStreamName_</v>
      </c>
      <c r="T138" s="219" t="str">
        <f t="shared" si="22"/>
        <v>SourceStreamClass_</v>
      </c>
      <c r="U138" s="45"/>
      <c r="V138" s="220" t="b">
        <f t="shared" si="23"/>
        <v>0</v>
      </c>
      <c r="W138" s="219" t="str">
        <f t="shared" si="24"/>
        <v/>
      </c>
      <c r="X138" s="638" t="str">
        <f t="shared" si="25"/>
        <v/>
      </c>
      <c r="Y138" s="355" t="str">
        <f t="shared" si="26"/>
        <v>netaik.</v>
      </c>
      <c r="Z138" s="223" t="str">
        <f>IF(E138="","",IF(MATCH(E138,EUConst_TierActivityListNames,0)&gt;40,MAX(Z$68:Z137)+1,""))</f>
        <v/>
      </c>
      <c r="AA138" s="45"/>
      <c r="AB138" s="219" t="b">
        <f t="shared" si="18"/>
        <v>0</v>
      </c>
    </row>
    <row r="139" spans="1:28" s="59" customFormat="1" hidden="1">
      <c r="A139" s="45"/>
      <c r="B139" s="791"/>
      <c r="C139" s="727"/>
      <c r="D139" s="64" t="s">
        <v>532</v>
      </c>
      <c r="E139" s="1475"/>
      <c r="F139" s="1476"/>
      <c r="G139" s="1476"/>
      <c r="H139" s="1477"/>
      <c r="I139" s="1478"/>
      <c r="J139" s="1479"/>
      <c r="K139" s="1480"/>
      <c r="L139" s="1475"/>
      <c r="M139" s="1477"/>
      <c r="N139" s="1159" t="str">
        <f t="shared" si="19"/>
        <v/>
      </c>
      <c r="O139" s="1160"/>
      <c r="P139" s="45"/>
      <c r="Q139" s="45"/>
      <c r="R139" s="219" t="b">
        <f t="shared" si="20"/>
        <v>0</v>
      </c>
      <c r="S139" s="219" t="str">
        <f t="shared" si="21"/>
        <v>SourceStreamName_</v>
      </c>
      <c r="T139" s="219" t="str">
        <f t="shared" si="22"/>
        <v>SourceStreamClass_</v>
      </c>
      <c r="U139" s="45"/>
      <c r="V139" s="220" t="b">
        <f t="shared" si="23"/>
        <v>0</v>
      </c>
      <c r="W139" s="219" t="str">
        <f t="shared" si="24"/>
        <v/>
      </c>
      <c r="X139" s="638" t="str">
        <f t="shared" si="25"/>
        <v/>
      </c>
      <c r="Y139" s="355" t="str">
        <f t="shared" si="26"/>
        <v>netaik.</v>
      </c>
      <c r="Z139" s="223" t="str">
        <f>IF(E139="","",IF(MATCH(E139,EUConst_TierActivityListNames,0)&gt;40,MAX(Z$68:Z138)+1,""))</f>
        <v/>
      </c>
      <c r="AA139" s="45"/>
      <c r="AB139" s="219" t="b">
        <f t="shared" si="18"/>
        <v>0</v>
      </c>
    </row>
    <row r="140" spans="1:28" s="59" customFormat="1" hidden="1">
      <c r="A140" s="45"/>
      <c r="B140" s="791"/>
      <c r="C140" s="727"/>
      <c r="D140" s="64" t="s">
        <v>533</v>
      </c>
      <c r="E140" s="1475"/>
      <c r="F140" s="1476"/>
      <c r="G140" s="1476"/>
      <c r="H140" s="1477"/>
      <c r="I140" s="1478"/>
      <c r="J140" s="1479"/>
      <c r="K140" s="1480"/>
      <c r="L140" s="1475"/>
      <c r="M140" s="1477"/>
      <c r="N140" s="1159" t="str">
        <f t="shared" si="19"/>
        <v/>
      </c>
      <c r="O140" s="1160"/>
      <c r="P140" s="47"/>
      <c r="Q140" s="45"/>
      <c r="R140" s="219" t="b">
        <f t="shared" si="20"/>
        <v>0</v>
      </c>
      <c r="S140" s="219" t="str">
        <f t="shared" si="21"/>
        <v>SourceStreamName_</v>
      </c>
      <c r="T140" s="219" t="str">
        <f t="shared" si="22"/>
        <v>SourceStreamClass_</v>
      </c>
      <c r="U140" s="45"/>
      <c r="V140" s="220" t="b">
        <f t="shared" si="23"/>
        <v>0</v>
      </c>
      <c r="W140" s="219" t="str">
        <f t="shared" si="24"/>
        <v/>
      </c>
      <c r="X140" s="638" t="str">
        <f t="shared" si="25"/>
        <v/>
      </c>
      <c r="Y140" s="355" t="str">
        <f t="shared" si="26"/>
        <v>netaik.</v>
      </c>
      <c r="Z140" s="223" t="str">
        <f>IF(E140="","",IF(MATCH(E140,EUConst_TierActivityListNames,0)&gt;40,MAX(Z$68:Z139)+1,""))</f>
        <v/>
      </c>
      <c r="AA140" s="45"/>
      <c r="AB140" s="219" t="b">
        <f t="shared" si="18"/>
        <v>0</v>
      </c>
    </row>
    <row r="141" spans="1:28" s="59" customFormat="1" hidden="1">
      <c r="A141" s="45"/>
      <c r="B141" s="791"/>
      <c r="C141" s="727"/>
      <c r="D141" s="64" t="s">
        <v>534</v>
      </c>
      <c r="E141" s="1475"/>
      <c r="F141" s="1476"/>
      <c r="G141" s="1476"/>
      <c r="H141" s="1477"/>
      <c r="I141" s="1478"/>
      <c r="J141" s="1479"/>
      <c r="K141" s="1480"/>
      <c r="L141" s="1475"/>
      <c r="M141" s="1477"/>
      <c r="N141" s="1159" t="str">
        <f t="shared" si="19"/>
        <v/>
      </c>
      <c r="O141" s="1160"/>
      <c r="P141" s="45"/>
      <c r="Q141" s="45"/>
      <c r="R141" s="219" t="b">
        <f t="shared" si="20"/>
        <v>0</v>
      </c>
      <c r="S141" s="219" t="str">
        <f t="shared" si="21"/>
        <v>SourceStreamName_</v>
      </c>
      <c r="T141" s="219" t="str">
        <f t="shared" si="22"/>
        <v>SourceStreamClass_</v>
      </c>
      <c r="U141" s="45"/>
      <c r="V141" s="220" t="b">
        <f t="shared" si="23"/>
        <v>0</v>
      </c>
      <c r="W141" s="219" t="str">
        <f t="shared" si="24"/>
        <v/>
      </c>
      <c r="X141" s="638" t="str">
        <f t="shared" si="25"/>
        <v/>
      </c>
      <c r="Y141" s="355" t="str">
        <f t="shared" si="26"/>
        <v>netaik.</v>
      </c>
      <c r="Z141" s="223" t="str">
        <f>IF(E141="","",IF(MATCH(E141,EUConst_TierActivityListNames,0)&gt;40,MAX(Z$68:Z140)+1,""))</f>
        <v/>
      </c>
      <c r="AA141" s="45"/>
      <c r="AB141" s="219" t="b">
        <f t="shared" si="18"/>
        <v>0</v>
      </c>
    </row>
    <row r="142" spans="1:28" s="59" customFormat="1" hidden="1">
      <c r="A142" s="45"/>
      <c r="B142" s="791"/>
      <c r="C142" s="727"/>
      <c r="D142" s="64" t="s">
        <v>535</v>
      </c>
      <c r="E142" s="1475"/>
      <c r="F142" s="1476"/>
      <c r="G142" s="1476"/>
      <c r="H142" s="1477"/>
      <c r="I142" s="1478"/>
      <c r="J142" s="1479"/>
      <c r="K142" s="1480"/>
      <c r="L142" s="1475"/>
      <c r="M142" s="1477"/>
      <c r="N142" s="1159" t="str">
        <f t="shared" si="19"/>
        <v/>
      </c>
      <c r="O142" s="1160"/>
      <c r="P142" s="45"/>
      <c r="Q142" s="45"/>
      <c r="R142" s="219" t="b">
        <f t="shared" si="20"/>
        <v>0</v>
      </c>
      <c r="S142" s="219" t="str">
        <f t="shared" si="21"/>
        <v>SourceStreamName_</v>
      </c>
      <c r="T142" s="219" t="str">
        <f t="shared" si="22"/>
        <v>SourceStreamClass_</v>
      </c>
      <c r="U142" s="45"/>
      <c r="V142" s="220" t="b">
        <f t="shared" si="23"/>
        <v>0</v>
      </c>
      <c r="W142" s="219" t="str">
        <f t="shared" si="24"/>
        <v/>
      </c>
      <c r="X142" s="638" t="str">
        <f t="shared" si="25"/>
        <v/>
      </c>
      <c r="Y142" s="355" t="str">
        <f t="shared" si="26"/>
        <v>netaik.</v>
      </c>
      <c r="Z142" s="223" t="str">
        <f>IF(E142="","",IF(MATCH(E142,EUConst_TierActivityListNames,0)&gt;40,MAX(Z$68:Z141)+1,""))</f>
        <v/>
      </c>
      <c r="AA142" s="45"/>
      <c r="AB142" s="219" t="b">
        <f t="shared" si="18"/>
        <v>0</v>
      </c>
    </row>
    <row r="143" spans="1:28" s="59" customFormat="1" hidden="1">
      <c r="A143" s="45"/>
      <c r="B143" s="791"/>
      <c r="C143" s="727"/>
      <c r="D143" s="64" t="s">
        <v>536</v>
      </c>
      <c r="E143" s="1475"/>
      <c r="F143" s="1476"/>
      <c r="G143" s="1476"/>
      <c r="H143" s="1477"/>
      <c r="I143" s="1478"/>
      <c r="J143" s="1479"/>
      <c r="K143" s="1480"/>
      <c r="L143" s="1475"/>
      <c r="M143" s="1477"/>
      <c r="N143" s="1159" t="str">
        <f t="shared" si="19"/>
        <v/>
      </c>
      <c r="O143" s="1160"/>
      <c r="P143" s="45"/>
      <c r="Q143" s="45"/>
      <c r="R143" s="219" t="b">
        <f t="shared" si="20"/>
        <v>0</v>
      </c>
      <c r="S143" s="219" t="str">
        <f t="shared" si="21"/>
        <v>SourceStreamName_</v>
      </c>
      <c r="T143" s="219" t="str">
        <f t="shared" si="22"/>
        <v>SourceStreamClass_</v>
      </c>
      <c r="U143" s="45"/>
      <c r="V143" s="220" t="b">
        <f t="shared" si="23"/>
        <v>0</v>
      </c>
      <c r="W143" s="219" t="str">
        <f t="shared" si="24"/>
        <v/>
      </c>
      <c r="X143" s="638" t="str">
        <f t="shared" si="25"/>
        <v/>
      </c>
      <c r="Y143" s="355" t="str">
        <f t="shared" si="26"/>
        <v>netaik.</v>
      </c>
      <c r="Z143" s="223" t="str">
        <f>IF(E143="","",IF(MATCH(E143,EUConst_TierActivityListNames,0)&gt;40,MAX(Z$68:Z142)+1,""))</f>
        <v/>
      </c>
      <c r="AA143" s="45"/>
      <c r="AB143" s="219" t="b">
        <f t="shared" si="18"/>
        <v>0</v>
      </c>
    </row>
    <row r="144" spans="1:28" s="59" customFormat="1" hidden="1">
      <c r="A144" s="45"/>
      <c r="B144" s="791"/>
      <c r="C144" s="727"/>
      <c r="D144" s="64" t="s">
        <v>537</v>
      </c>
      <c r="E144" s="1475"/>
      <c r="F144" s="1476"/>
      <c r="G144" s="1476"/>
      <c r="H144" s="1477"/>
      <c r="I144" s="1478"/>
      <c r="J144" s="1479"/>
      <c r="K144" s="1480"/>
      <c r="L144" s="1475"/>
      <c r="M144" s="1477"/>
      <c r="N144" s="1159" t="str">
        <f t="shared" si="19"/>
        <v/>
      </c>
      <c r="O144" s="1160"/>
      <c r="P144" s="45"/>
      <c r="Q144" s="45"/>
      <c r="R144" s="219" t="b">
        <f t="shared" si="20"/>
        <v>0</v>
      </c>
      <c r="S144" s="219" t="str">
        <f t="shared" si="21"/>
        <v>SourceStreamName_</v>
      </c>
      <c r="T144" s="219" t="str">
        <f t="shared" si="22"/>
        <v>SourceStreamClass_</v>
      </c>
      <c r="U144" s="45"/>
      <c r="V144" s="220" t="b">
        <f t="shared" si="23"/>
        <v>0</v>
      </c>
      <c r="W144" s="219" t="str">
        <f t="shared" si="24"/>
        <v/>
      </c>
      <c r="X144" s="638" t="str">
        <f t="shared" si="25"/>
        <v/>
      </c>
      <c r="Y144" s="355" t="str">
        <f t="shared" si="26"/>
        <v>netaik.</v>
      </c>
      <c r="Z144" s="223" t="str">
        <f>IF(E144="","",IF(MATCH(E144,EUConst_TierActivityListNames,0)&gt;40,MAX(Z$68:Z143)+1,""))</f>
        <v/>
      </c>
      <c r="AA144" s="45"/>
      <c r="AB144" s="219" t="b">
        <f t="shared" si="18"/>
        <v>0</v>
      </c>
    </row>
    <row r="145" spans="1:28" s="59" customFormat="1" ht="9.75" customHeight="1" thickBot="1">
      <c r="A145" s="45"/>
      <c r="B145" s="791"/>
      <c r="C145" s="727"/>
      <c r="D145" s="64" t="s">
        <v>538</v>
      </c>
      <c r="E145" s="1475"/>
      <c r="F145" s="1476"/>
      <c r="G145" s="1476"/>
      <c r="H145" s="1477"/>
      <c r="I145" s="1478"/>
      <c r="J145" s="1479"/>
      <c r="K145" s="1480"/>
      <c r="L145" s="1475"/>
      <c r="M145" s="1477"/>
      <c r="N145" s="1161" t="str">
        <f t="shared" si="19"/>
        <v/>
      </c>
      <c r="O145" s="1160"/>
      <c r="P145" s="47"/>
      <c r="Q145" s="45"/>
      <c r="R145" s="219" t="b">
        <f t="shared" si="20"/>
        <v>0</v>
      </c>
      <c r="S145" s="219" t="str">
        <f t="shared" si="21"/>
        <v>SourceStreamName_</v>
      </c>
      <c r="T145" s="219" t="str">
        <f t="shared" si="22"/>
        <v>SourceStreamClass_</v>
      </c>
      <c r="U145" s="45"/>
      <c r="V145" s="220" t="b">
        <f t="shared" si="23"/>
        <v>0</v>
      </c>
      <c r="W145" s="219" t="str">
        <f t="shared" si="24"/>
        <v/>
      </c>
      <c r="X145" s="638" t="str">
        <f t="shared" si="25"/>
        <v/>
      </c>
      <c r="Y145" s="356" t="str">
        <f t="shared" si="26"/>
        <v>netaik.</v>
      </c>
      <c r="Z145" s="223" t="str">
        <f>IF(E145="","",IF(MATCH(E145,EUConst_TierActivityListNames,0)&gt;40,MAX(Z$68:Z144)+1,""))</f>
        <v/>
      </c>
      <c r="AA145" s="45"/>
      <c r="AB145" s="219" t="b">
        <f>AB119</f>
        <v>0</v>
      </c>
    </row>
    <row r="146" spans="1:28" s="59" customFormat="1" ht="12.75" customHeight="1">
      <c r="A146" s="47" t="s">
        <v>277</v>
      </c>
      <c r="B146" s="791"/>
      <c r="C146" s="727"/>
      <c r="D146" s="731"/>
      <c r="E146" s="206"/>
      <c r="F146" s="206"/>
      <c r="G146" s="206"/>
      <c r="H146" s="206"/>
      <c r="I146" s="206"/>
      <c r="J146" s="206"/>
      <c r="K146" s="206"/>
      <c r="L146" s="206"/>
      <c r="M146" s="207"/>
      <c r="N146" s="206"/>
      <c r="O146" s="747"/>
      <c r="P146" s="45"/>
      <c r="Q146" s="45"/>
      <c r="R146" s="45"/>
      <c r="S146" s="45"/>
      <c r="T146" s="45"/>
      <c r="U146" s="45"/>
      <c r="V146" s="45"/>
      <c r="W146" s="45"/>
      <c r="X146" s="45"/>
      <c r="Y146" s="45"/>
      <c r="Z146" s="45"/>
      <c r="AA146" s="45"/>
      <c r="AB146" s="171"/>
    </row>
    <row r="147" spans="1:28" s="28" customFormat="1" ht="15" customHeight="1">
      <c r="A147" s="170"/>
      <c r="B147" s="790"/>
      <c r="C147" s="727"/>
      <c r="D147" s="857" t="s">
        <v>77</v>
      </c>
      <c r="E147" s="1498" t="str">
        <f>Translations!$B$122</f>
        <v>Matavimo taškai, kuriuose įrengtos nuolatinio matavimo sistemos:</v>
      </c>
      <c r="F147" s="1498"/>
      <c r="G147" s="1498"/>
      <c r="H147" s="1498"/>
      <c r="I147" s="1498"/>
      <c r="J147" s="1498"/>
      <c r="K147" s="1499"/>
      <c r="L147" s="1520" t="str">
        <f>IF(OR(CNTR_InstHasMeasurement=TRUE,CNTR_InstHasN2O=TRUE,CNTR_InstHasTransferredCO2=TRUE),EUconst_Relevant,IF(COUNTA(CNTR_ListRelevantSections)&gt;0,EUconst_NotRelevant,EUconst_Relevant))</f>
        <v>nesvarbu</v>
      </c>
      <c r="M147" s="1521"/>
      <c r="N147" s="1522"/>
      <c r="O147" s="753"/>
      <c r="P147" s="229"/>
      <c r="Q147" s="226"/>
      <c r="R147" s="170"/>
      <c r="S147" s="170"/>
      <c r="T147" s="170"/>
      <c r="U147" s="170"/>
      <c r="V147" s="170"/>
      <c r="W147" s="45"/>
      <c r="X147" s="170"/>
      <c r="Y147" s="170"/>
      <c r="Z147" s="170"/>
      <c r="AA147" s="170"/>
      <c r="AB147" s="170"/>
    </row>
    <row r="148" spans="1:28" s="28" customFormat="1" ht="12.75" customHeight="1">
      <c r="A148" s="170"/>
      <c r="B148" s="790"/>
      <c r="C148" s="727"/>
      <c r="D148" s="166"/>
      <c r="E148" s="731"/>
      <c r="F148" s="166"/>
      <c r="G148" s="166"/>
      <c r="H148" s="166"/>
      <c r="I148" s="166"/>
      <c r="J148" s="166"/>
      <c r="K148" s="1507" t="str">
        <f>IF(L147=EUconst_NotRelevant,HYPERLINK(R148,EUconst_MsgGoOn),HYPERLINK("",EUconst_MsgEnterThisSection))</f>
        <v>Prašome pildyti tolesnius punktus</v>
      </c>
      <c r="L148" s="1507"/>
      <c r="M148" s="1507"/>
      <c r="N148" s="1507"/>
      <c r="O148" s="744"/>
      <c r="P148" s="170"/>
      <c r="Q148" s="1" t="s">
        <v>239</v>
      </c>
      <c r="R148" s="230" t="str">
        <f>"#"&amp;ADDRESS(ROW(F169),COLUMN(F169))</f>
        <v>#$F$169</v>
      </c>
      <c r="S148" s="170"/>
      <c r="T148" s="170"/>
      <c r="U148" s="170"/>
      <c r="V148" s="170"/>
      <c r="W148" s="45"/>
      <c r="X148" s="170"/>
      <c r="Y148" s="170"/>
      <c r="Z148" s="170"/>
      <c r="AA148" s="170"/>
      <c r="AB148" s="170"/>
    </row>
    <row r="149" spans="1:28" s="59" customFormat="1" ht="16.5" customHeight="1">
      <c r="A149" s="45"/>
      <c r="B149" s="791"/>
      <c r="C149" s="727"/>
      <c r="D149" s="166"/>
      <c r="E149" s="206"/>
      <c r="F149" s="206"/>
      <c r="G149" s="206"/>
      <c r="H149" s="206"/>
      <c r="I149" s="206"/>
      <c r="J149" s="206"/>
      <c r="K149" s="267"/>
      <c r="L149" s="267"/>
      <c r="M149" s="267"/>
      <c r="N149" s="267"/>
      <c r="O149" s="734"/>
      <c r="P149" s="45"/>
      <c r="Q149" s="45"/>
      <c r="R149" s="45"/>
      <c r="S149" s="45"/>
      <c r="T149" s="45"/>
      <c r="U149" s="45"/>
      <c r="V149" s="45"/>
      <c r="W149" s="45"/>
      <c r="X149" s="45"/>
      <c r="Y149" s="45"/>
      <c r="Z149" s="45"/>
      <c r="AA149" s="45"/>
      <c r="AB149" s="45"/>
    </row>
    <row r="150" spans="1:28" s="59" customFormat="1" ht="25.5" customHeight="1">
      <c r="A150" s="45"/>
      <c r="B150" s="791"/>
      <c r="C150" s="727"/>
      <c r="D150" s="731"/>
      <c r="E150" s="1494"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4"/>
      <c r="G150" s="1494"/>
      <c r="H150" s="1494"/>
      <c r="I150" s="1494"/>
      <c r="J150" s="1494"/>
      <c r="K150" s="1494"/>
      <c r="L150" s="1494"/>
      <c r="M150" s="1494"/>
      <c r="N150" s="1494"/>
      <c r="O150" s="754"/>
      <c r="P150" s="214"/>
      <c r="Q150" s="214"/>
      <c r="R150" s="45"/>
      <c r="S150" s="45"/>
      <c r="T150" s="45"/>
      <c r="U150" s="45"/>
      <c r="V150" s="45"/>
      <c r="W150" s="45"/>
      <c r="X150" s="45"/>
      <c r="Y150" s="45"/>
      <c r="Z150" s="45"/>
      <c r="AA150" s="45"/>
      <c r="AB150" s="45"/>
    </row>
    <row r="151" spans="1:28" s="59" customFormat="1" ht="12.75" customHeight="1">
      <c r="A151" s="45"/>
      <c r="B151" s="791"/>
      <c r="C151" s="727"/>
      <c r="D151" s="731"/>
      <c r="E151" s="1494" t="str">
        <f>Translations!$B$615</f>
        <v>Jeigu pirmiau esate nurodę, kad netaikoma jokių matavimu grindžiamų metodų, nieko įrašyti nereikia.</v>
      </c>
      <c r="F151" s="1494"/>
      <c r="G151" s="1494"/>
      <c r="H151" s="1494"/>
      <c r="I151" s="1494"/>
      <c r="J151" s="1494"/>
      <c r="K151" s="1494"/>
      <c r="L151" s="1494"/>
      <c r="M151" s="1494"/>
      <c r="N151" s="1494"/>
      <c r="O151" s="754"/>
      <c r="P151" s="214"/>
      <c r="Q151" s="214"/>
      <c r="R151" s="45"/>
      <c r="S151" s="45"/>
      <c r="T151" s="45"/>
      <c r="U151" s="45"/>
      <c r="V151" s="45"/>
      <c r="W151" s="45"/>
      <c r="X151" s="45"/>
      <c r="Y151" s="45"/>
      <c r="Z151" s="45"/>
      <c r="AA151" s="45"/>
      <c r="AB151" s="45"/>
    </row>
    <row r="152" spans="1:28" s="59" customFormat="1" ht="12.75" customHeight="1">
      <c r="A152" s="45"/>
      <c r="B152" s="791"/>
      <c r="C152" s="727"/>
      <c r="D152" s="731"/>
      <c r="E152" s="1495" t="str">
        <f>Translations!$B$616</f>
        <v>Svarbu! Nuoseklumo sumetimais matavimo taškus įveskite tokia pat eilės tvarka, kaip pateikta Jūsų naujausiame patvirtintame stebėsenos plane (tokia pat eilės tvarka ir naudodami tokius pat identifikatorius).</v>
      </c>
      <c r="F152" s="1495"/>
      <c r="G152" s="1495"/>
      <c r="H152" s="1495"/>
      <c r="I152" s="1495"/>
      <c r="J152" s="1495"/>
      <c r="K152" s="1495"/>
      <c r="L152" s="1495"/>
      <c r="M152" s="1495"/>
      <c r="N152" s="1495"/>
      <c r="O152" s="754"/>
      <c r="P152" s="214"/>
      <c r="Q152" s="214"/>
      <c r="R152" s="45"/>
      <c r="S152" s="45"/>
      <c r="T152" s="45"/>
      <c r="U152" s="45"/>
      <c r="V152" s="45"/>
      <c r="W152" s="45"/>
      <c r="X152" s="45"/>
      <c r="Y152" s="45"/>
      <c r="Z152" s="45"/>
      <c r="AA152" s="45"/>
      <c r="AB152" s="45"/>
    </row>
    <row r="153" spans="1:28" s="59" customFormat="1" ht="5.0999999999999996" customHeight="1">
      <c r="A153" s="45"/>
      <c r="B153" s="791"/>
      <c r="C153" s="727"/>
      <c r="D153" s="731"/>
      <c r="E153" s="792"/>
      <c r="F153" s="206"/>
      <c r="G153" s="206"/>
      <c r="H153" s="206"/>
      <c r="I153" s="206"/>
      <c r="J153" s="206"/>
      <c r="K153" s="206"/>
      <c r="L153" s="206"/>
      <c r="M153" s="207"/>
      <c r="N153" s="206"/>
      <c r="O153" s="747"/>
      <c r="P153" s="231"/>
      <c r="Q153" s="45"/>
      <c r="R153" s="45"/>
      <c r="S153" s="45"/>
      <c r="T153" s="45"/>
      <c r="U153" s="228"/>
      <c r="V153" s="45"/>
      <c r="W153" s="45"/>
      <c r="X153" s="45"/>
      <c r="Y153" s="45"/>
      <c r="Z153" s="45"/>
      <c r="AA153" s="45"/>
      <c r="AB153" s="45"/>
    </row>
    <row r="154" spans="1:28" s="59" customFormat="1" ht="33.75">
      <c r="A154" s="45"/>
      <c r="B154" s="791"/>
      <c r="C154" s="727"/>
      <c r="D154" s="731"/>
      <c r="E154" s="246" t="str">
        <f>Translations!$B$124</f>
        <v>matavimo taško nuoroda M1, M2,...</v>
      </c>
      <c r="F154" s="1487" t="str">
        <f>Translations!$B$125</f>
        <v>Apibūdinimas</v>
      </c>
      <c r="G154" s="1488"/>
      <c r="H154" s="1488"/>
      <c r="I154" s="1488"/>
      <c r="J154" s="1488"/>
      <c r="K154" s="1488"/>
      <c r="L154" s="1489"/>
      <c r="M154" s="1500" t="str">
        <f>Translations!$B$126</f>
        <v>Išmatuotas ŠESD kiekis</v>
      </c>
      <c r="N154" s="1500"/>
      <c r="O154" s="747"/>
      <c r="P154" s="232"/>
      <c r="Q154" s="45"/>
      <c r="R154" s="45"/>
      <c r="S154" s="45"/>
      <c r="T154" s="171"/>
      <c r="U154" s="228"/>
      <c r="V154" s="45"/>
      <c r="W154" s="45"/>
      <c r="X154" s="45"/>
      <c r="Y154" s="335" t="s">
        <v>469</v>
      </c>
      <c r="Z154" s="45"/>
      <c r="AA154" s="45"/>
      <c r="AB154" s="47" t="s">
        <v>335</v>
      </c>
    </row>
    <row r="155" spans="1:28" s="59" customFormat="1" ht="13.5" customHeight="1" thickBot="1">
      <c r="A155" s="47" t="s">
        <v>278</v>
      </c>
      <c r="B155" s="791"/>
      <c r="C155" s="727"/>
      <c r="D155" s="731"/>
      <c r="E155" s="149" t="str">
        <f>Translations!$B$617</f>
        <v>Pavyzdys M01</v>
      </c>
      <c r="F155" s="1504" t="str">
        <f>Translations!$B$127</f>
        <v>Anglimis kūrenamo katilo kaminas, A matavimo platforma</v>
      </c>
      <c r="G155" s="1505"/>
      <c r="H155" s="1505"/>
      <c r="I155" s="1505"/>
      <c r="J155" s="1505"/>
      <c r="K155" s="1505"/>
      <c r="L155" s="1506"/>
      <c r="M155" s="1501" t="s">
        <v>20</v>
      </c>
      <c r="N155" s="1501"/>
      <c r="O155" s="747"/>
      <c r="P155" s="232"/>
      <c r="Q155" s="45"/>
      <c r="R155" s="45"/>
      <c r="S155" s="45"/>
      <c r="T155" s="171"/>
      <c r="U155" s="228"/>
      <c r="V155" s="45"/>
      <c r="W155" s="45"/>
      <c r="X155" s="45"/>
      <c r="Y155" s="45"/>
      <c r="Z155" s="45"/>
      <c r="AA155" s="45"/>
      <c r="AB155" s="47"/>
    </row>
    <row r="156" spans="1:28" s="59" customFormat="1">
      <c r="A156" s="45"/>
      <c r="B156" s="791"/>
      <c r="C156" s="727"/>
      <c r="D156" s="731"/>
      <c r="E156" s="64" t="s">
        <v>132</v>
      </c>
      <c r="F156" s="1478"/>
      <c r="G156" s="1479"/>
      <c r="H156" s="1479"/>
      <c r="I156" s="1479"/>
      <c r="J156" s="1479"/>
      <c r="K156" s="1479"/>
      <c r="L156" s="1480"/>
      <c r="M156" s="1502"/>
      <c r="N156" s="1503"/>
      <c r="O156" s="747"/>
      <c r="P156" s="232"/>
      <c r="Q156" s="233" t="str">
        <f t="shared" ref="Q156:Q165" si="27">EUconst_CNTR_SourceCategory&amp;E156</f>
        <v>SourceCategory_M1</v>
      </c>
      <c r="R156" s="45"/>
      <c r="S156" s="45"/>
      <c r="T156" s="234"/>
      <c r="U156" s="228"/>
      <c r="V156" s="45"/>
      <c r="W156" s="45"/>
      <c r="X156" s="45"/>
      <c r="Y156" s="354" t="str">
        <f t="shared" ref="Y156:Y165" si="28">IF(COUNTA(F156:N156)=0,EUconst_NA,E156&amp;". "&amp;F156)</f>
        <v>netaik.</v>
      </c>
      <c r="Z156" s="45"/>
      <c r="AA156" s="45"/>
      <c r="AB156" s="219" t="b">
        <f>L147=EUconst_NotRelevant</f>
        <v>1</v>
      </c>
    </row>
    <row r="157" spans="1:28" s="59" customFormat="1">
      <c r="A157" s="45"/>
      <c r="B157" s="791"/>
      <c r="C157" s="727"/>
      <c r="D157" s="731"/>
      <c r="E157" s="64" t="s">
        <v>133</v>
      </c>
      <c r="F157" s="1478"/>
      <c r="G157" s="1479"/>
      <c r="H157" s="1479"/>
      <c r="I157" s="1479"/>
      <c r="J157" s="1479"/>
      <c r="K157" s="1479"/>
      <c r="L157" s="1480"/>
      <c r="M157" s="1502"/>
      <c r="N157" s="1503"/>
      <c r="O157" s="747"/>
      <c r="P157" s="232"/>
      <c r="Q157" s="233" t="str">
        <f t="shared" si="27"/>
        <v>SourceCategory_M2</v>
      </c>
      <c r="R157" s="45"/>
      <c r="S157" s="45"/>
      <c r="T157" s="234"/>
      <c r="U157" s="228"/>
      <c r="V157" s="45"/>
      <c r="W157" s="45"/>
      <c r="X157" s="45"/>
      <c r="Y157" s="355" t="str">
        <f t="shared" si="28"/>
        <v>netaik.</v>
      </c>
      <c r="Z157" s="45"/>
      <c r="AA157" s="45"/>
      <c r="AB157" s="219" t="b">
        <f t="shared" ref="AB157:AB165" si="29">AB156</f>
        <v>1</v>
      </c>
    </row>
    <row r="158" spans="1:28" s="59" customFormat="1">
      <c r="A158" s="45"/>
      <c r="B158" s="791"/>
      <c r="C158" s="727"/>
      <c r="D158" s="731"/>
      <c r="E158" s="64" t="s">
        <v>50</v>
      </c>
      <c r="F158" s="1478"/>
      <c r="G158" s="1479"/>
      <c r="H158" s="1479"/>
      <c r="I158" s="1479"/>
      <c r="J158" s="1479"/>
      <c r="K158" s="1479"/>
      <c r="L158" s="1480"/>
      <c r="M158" s="1502"/>
      <c r="N158" s="1503"/>
      <c r="O158" s="747"/>
      <c r="P158" s="232"/>
      <c r="Q158" s="233" t="str">
        <f t="shared" si="27"/>
        <v>SourceCategory_M3</v>
      </c>
      <c r="R158" s="45"/>
      <c r="S158" s="45"/>
      <c r="T158" s="234"/>
      <c r="U158" s="228"/>
      <c r="V158" s="45"/>
      <c r="W158" s="45"/>
      <c r="X158" s="45"/>
      <c r="Y158" s="355" t="str">
        <f t="shared" si="28"/>
        <v>netaik.</v>
      </c>
      <c r="Z158" s="45"/>
      <c r="AA158" s="45"/>
      <c r="AB158" s="219" t="b">
        <f t="shared" si="29"/>
        <v>1</v>
      </c>
    </row>
    <row r="159" spans="1:28" s="59" customFormat="1">
      <c r="A159" s="45"/>
      <c r="B159" s="791"/>
      <c r="C159" s="727"/>
      <c r="D159" s="731"/>
      <c r="E159" s="64" t="s">
        <v>51</v>
      </c>
      <c r="F159" s="1478"/>
      <c r="G159" s="1479"/>
      <c r="H159" s="1479"/>
      <c r="I159" s="1479"/>
      <c r="J159" s="1479"/>
      <c r="K159" s="1479"/>
      <c r="L159" s="1480"/>
      <c r="M159" s="1502"/>
      <c r="N159" s="1503"/>
      <c r="O159" s="747"/>
      <c r="P159" s="232"/>
      <c r="Q159" s="233" t="str">
        <f t="shared" si="27"/>
        <v>SourceCategory_M4</v>
      </c>
      <c r="R159" s="45"/>
      <c r="S159" s="45"/>
      <c r="T159" s="234"/>
      <c r="U159" s="228"/>
      <c r="V159" s="45"/>
      <c r="W159" s="45"/>
      <c r="X159" s="45"/>
      <c r="Y159" s="355" t="str">
        <f t="shared" si="28"/>
        <v>netaik.</v>
      </c>
      <c r="Z159" s="45"/>
      <c r="AA159" s="45"/>
      <c r="AB159" s="219" t="b">
        <f t="shared" si="29"/>
        <v>1</v>
      </c>
    </row>
    <row r="160" spans="1:28" s="59" customFormat="1">
      <c r="A160" s="45"/>
      <c r="B160" s="791"/>
      <c r="C160" s="727"/>
      <c r="D160" s="731"/>
      <c r="E160" s="64" t="s">
        <v>52</v>
      </c>
      <c r="F160" s="1478"/>
      <c r="G160" s="1479"/>
      <c r="H160" s="1479"/>
      <c r="I160" s="1479"/>
      <c r="J160" s="1479"/>
      <c r="K160" s="1479"/>
      <c r="L160" s="1480"/>
      <c r="M160" s="1502"/>
      <c r="N160" s="1503"/>
      <c r="O160" s="747"/>
      <c r="P160" s="232"/>
      <c r="Q160" s="233" t="str">
        <f t="shared" si="27"/>
        <v>SourceCategory_M5</v>
      </c>
      <c r="R160" s="45"/>
      <c r="S160" s="45"/>
      <c r="T160" s="234"/>
      <c r="U160" s="228"/>
      <c r="V160" s="45"/>
      <c r="W160" s="45"/>
      <c r="X160" s="45"/>
      <c r="Y160" s="355" t="str">
        <f t="shared" si="28"/>
        <v>netaik.</v>
      </c>
      <c r="Z160" s="45"/>
      <c r="AA160" s="45"/>
      <c r="AB160" s="219" t="b">
        <f t="shared" si="29"/>
        <v>1</v>
      </c>
    </row>
    <row r="161" spans="1:28" s="59" customFormat="1">
      <c r="A161" s="45"/>
      <c r="B161" s="791"/>
      <c r="C161" s="727"/>
      <c r="D161" s="731"/>
      <c r="E161" s="64" t="s">
        <v>464</v>
      </c>
      <c r="F161" s="1478"/>
      <c r="G161" s="1479"/>
      <c r="H161" s="1479"/>
      <c r="I161" s="1479"/>
      <c r="J161" s="1479"/>
      <c r="K161" s="1479"/>
      <c r="L161" s="1480"/>
      <c r="M161" s="1502"/>
      <c r="N161" s="1503"/>
      <c r="O161" s="747"/>
      <c r="P161" s="232"/>
      <c r="Q161" s="233" t="str">
        <f t="shared" si="27"/>
        <v>SourceCategory_M6</v>
      </c>
      <c r="R161" s="45"/>
      <c r="S161" s="45"/>
      <c r="T161" s="234"/>
      <c r="U161" s="228"/>
      <c r="V161" s="45"/>
      <c r="W161" s="45"/>
      <c r="X161" s="45"/>
      <c r="Y161" s="355" t="str">
        <f t="shared" si="28"/>
        <v>netaik.</v>
      </c>
      <c r="Z161" s="45"/>
      <c r="AA161" s="45"/>
      <c r="AB161" s="219" t="b">
        <f t="shared" si="29"/>
        <v>1</v>
      </c>
    </row>
    <row r="162" spans="1:28" s="59" customFormat="1">
      <c r="A162" s="45"/>
      <c r="B162" s="791"/>
      <c r="C162" s="727"/>
      <c r="D162" s="731"/>
      <c r="E162" s="64" t="s">
        <v>465</v>
      </c>
      <c r="F162" s="1478"/>
      <c r="G162" s="1479"/>
      <c r="H162" s="1479"/>
      <c r="I162" s="1479"/>
      <c r="J162" s="1479"/>
      <c r="K162" s="1479"/>
      <c r="L162" s="1480"/>
      <c r="M162" s="1502"/>
      <c r="N162" s="1503"/>
      <c r="O162" s="747"/>
      <c r="P162" s="232"/>
      <c r="Q162" s="233" t="str">
        <f t="shared" si="27"/>
        <v>SourceCategory_M7</v>
      </c>
      <c r="R162" s="45"/>
      <c r="S162" s="45"/>
      <c r="T162" s="234"/>
      <c r="U162" s="228"/>
      <c r="V162" s="45"/>
      <c r="W162" s="45"/>
      <c r="X162" s="45"/>
      <c r="Y162" s="355" t="str">
        <f t="shared" si="28"/>
        <v>netaik.</v>
      </c>
      <c r="Z162" s="45"/>
      <c r="AA162" s="45"/>
      <c r="AB162" s="219" t="b">
        <f t="shared" si="29"/>
        <v>1</v>
      </c>
    </row>
    <row r="163" spans="1:28" s="59" customFormat="1">
      <c r="A163" s="45"/>
      <c r="B163" s="791"/>
      <c r="C163" s="727"/>
      <c r="D163" s="731"/>
      <c r="E163" s="64" t="s">
        <v>466</v>
      </c>
      <c r="F163" s="1478"/>
      <c r="G163" s="1479"/>
      <c r="H163" s="1479"/>
      <c r="I163" s="1479"/>
      <c r="J163" s="1479"/>
      <c r="K163" s="1479"/>
      <c r="L163" s="1480"/>
      <c r="M163" s="1502"/>
      <c r="N163" s="1503"/>
      <c r="O163" s="747"/>
      <c r="P163" s="232"/>
      <c r="Q163" s="233" t="str">
        <f t="shared" si="27"/>
        <v>SourceCategory_M8</v>
      </c>
      <c r="R163" s="45"/>
      <c r="S163" s="45"/>
      <c r="T163" s="234"/>
      <c r="U163" s="228"/>
      <c r="V163" s="45"/>
      <c r="W163" s="45"/>
      <c r="X163" s="45"/>
      <c r="Y163" s="355" t="str">
        <f t="shared" si="28"/>
        <v>netaik.</v>
      </c>
      <c r="Z163" s="45"/>
      <c r="AA163" s="45"/>
      <c r="AB163" s="219" t="b">
        <f t="shared" si="29"/>
        <v>1</v>
      </c>
    </row>
    <row r="164" spans="1:28" s="59" customFormat="1">
      <c r="A164" s="45"/>
      <c r="B164" s="791"/>
      <c r="C164" s="727"/>
      <c r="D164" s="731"/>
      <c r="E164" s="64" t="s">
        <v>467</v>
      </c>
      <c r="F164" s="1478"/>
      <c r="G164" s="1479"/>
      <c r="H164" s="1479"/>
      <c r="I164" s="1479"/>
      <c r="J164" s="1479"/>
      <c r="K164" s="1479"/>
      <c r="L164" s="1480"/>
      <c r="M164" s="1502"/>
      <c r="N164" s="1503"/>
      <c r="O164" s="747"/>
      <c r="P164" s="232"/>
      <c r="Q164" s="233" t="str">
        <f t="shared" si="27"/>
        <v>SourceCategory_M9</v>
      </c>
      <c r="R164" s="45"/>
      <c r="S164" s="45"/>
      <c r="T164" s="234"/>
      <c r="U164" s="228"/>
      <c r="V164" s="45"/>
      <c r="W164" s="45"/>
      <c r="X164" s="45"/>
      <c r="Y164" s="355" t="str">
        <f t="shared" si="28"/>
        <v>netaik.</v>
      </c>
      <c r="Z164" s="45"/>
      <c r="AA164" s="45"/>
      <c r="AB164" s="219" t="b">
        <f t="shared" si="29"/>
        <v>1</v>
      </c>
    </row>
    <row r="165" spans="1:28" s="59" customFormat="1" ht="13.5" thickBot="1">
      <c r="A165" s="45"/>
      <c r="B165" s="791"/>
      <c r="C165" s="727"/>
      <c r="D165" s="731"/>
      <c r="E165" s="64" t="s">
        <v>468</v>
      </c>
      <c r="F165" s="1478"/>
      <c r="G165" s="1479"/>
      <c r="H165" s="1479"/>
      <c r="I165" s="1479"/>
      <c r="J165" s="1479"/>
      <c r="K165" s="1479"/>
      <c r="L165" s="1480"/>
      <c r="M165" s="1502"/>
      <c r="N165" s="1503"/>
      <c r="O165" s="747"/>
      <c r="P165" s="232"/>
      <c r="Q165" s="233" t="str">
        <f t="shared" si="27"/>
        <v>SourceCategory_M10</v>
      </c>
      <c r="R165" s="45"/>
      <c r="S165" s="45"/>
      <c r="T165" s="234"/>
      <c r="U165" s="228"/>
      <c r="V165" s="45"/>
      <c r="W165" s="45"/>
      <c r="X165" s="45"/>
      <c r="Y165" s="356" t="str">
        <f t="shared" si="28"/>
        <v>netaik.</v>
      </c>
      <c r="Z165" s="45"/>
      <c r="AA165" s="45"/>
      <c r="AB165" s="219" t="b">
        <f t="shared" si="29"/>
        <v>1</v>
      </c>
    </row>
    <row r="166" spans="1:28" s="59" customFormat="1" ht="12.75" customHeight="1">
      <c r="A166" s="47" t="s">
        <v>139</v>
      </c>
      <c r="B166" s="791"/>
      <c r="C166" s="727"/>
      <c r="D166" s="731"/>
      <c r="E166" s="206"/>
      <c r="F166" s="206"/>
      <c r="G166" s="206"/>
      <c r="H166" s="206"/>
      <c r="I166" s="206"/>
      <c r="J166" s="206"/>
      <c r="K166" s="206"/>
      <c r="L166" s="206"/>
      <c r="M166" s="206"/>
      <c r="N166" s="206"/>
      <c r="O166" s="747"/>
      <c r="P166" s="45"/>
      <c r="Q166" s="45"/>
      <c r="R166" s="45"/>
      <c r="S166" s="45"/>
      <c r="T166" s="171"/>
      <c r="U166" s="228"/>
      <c r="V166" s="45"/>
      <c r="W166" s="45"/>
      <c r="X166" s="45"/>
      <c r="Y166" s="45"/>
      <c r="Z166" s="45"/>
      <c r="AA166" s="45"/>
      <c r="AB166" s="45"/>
    </row>
    <row r="167" spans="1:28" s="59" customFormat="1" ht="12.75" customHeight="1" thickBot="1">
      <c r="A167" s="56"/>
      <c r="B167" s="793"/>
      <c r="C167" s="720"/>
      <c r="D167" s="500"/>
      <c r="E167" s="38"/>
      <c r="F167" s="36"/>
      <c r="G167" s="39"/>
      <c r="H167" s="39"/>
      <c r="I167" s="39"/>
      <c r="J167" s="39"/>
      <c r="K167" s="39"/>
      <c r="L167" s="39"/>
      <c r="M167" s="39"/>
      <c r="N167" s="39"/>
      <c r="O167" s="736"/>
      <c r="P167" s="392"/>
      <c r="Q167" s="56"/>
      <c r="R167" s="56"/>
      <c r="S167" s="75"/>
      <c r="T167" s="56"/>
      <c r="U167" s="56"/>
      <c r="V167" s="56"/>
      <c r="W167" s="45"/>
      <c r="X167" s="56"/>
      <c r="Y167" s="56"/>
      <c r="Z167" s="56"/>
      <c r="AA167" s="56"/>
      <c r="AB167" s="56"/>
    </row>
    <row r="168" spans="1:28" s="59" customFormat="1" ht="12.75" customHeight="1">
      <c r="A168" s="56"/>
      <c r="B168" s="793"/>
      <c r="C168" s="721"/>
      <c r="D168" s="180"/>
      <c r="E168" s="22"/>
      <c r="F168" s="7"/>
      <c r="G168" s="11"/>
      <c r="H168" s="11"/>
      <c r="I168" s="11"/>
      <c r="J168" s="11"/>
      <c r="K168" s="11"/>
      <c r="L168" s="11"/>
      <c r="M168" s="11"/>
      <c r="N168" s="11"/>
      <c r="O168" s="736"/>
      <c r="P168" s="392"/>
      <c r="Q168" s="56"/>
      <c r="R168" s="56"/>
      <c r="S168" s="75"/>
      <c r="T168" s="56"/>
      <c r="U168" s="56"/>
      <c r="V168" s="56"/>
      <c r="W168" s="45"/>
      <c r="X168" s="56"/>
      <c r="Y168" s="56"/>
      <c r="Z168" s="56"/>
      <c r="AA168" s="56"/>
      <c r="AB168" s="56"/>
    </row>
    <row r="169" spans="1:28" s="7" customFormat="1" ht="15" customHeight="1">
      <c r="A169" s="1"/>
      <c r="B169" s="793"/>
      <c r="C169" s="721"/>
      <c r="D169" s="794"/>
      <c r="E169" s="795"/>
      <c r="F169" s="1365" t="str">
        <f>EUconst_MsgNextSheet</f>
        <v xml:space="preserve">&lt;&lt;&lt; Į kitą lapą pereisite paspaudę čia &gt;&gt;&gt; </v>
      </c>
      <c r="G169" s="1365"/>
      <c r="H169" s="1365"/>
      <c r="I169" s="1365"/>
      <c r="J169" s="1365"/>
      <c r="K169" s="1365"/>
      <c r="L169" s="1365"/>
      <c r="O169" s="736"/>
      <c r="P169" s="1"/>
      <c r="Q169" s="45"/>
      <c r="R169" s="45"/>
      <c r="S169" s="45"/>
      <c r="T169" s="45"/>
      <c r="U169" s="45"/>
      <c r="V169" s="45"/>
      <c r="W169" s="45"/>
      <c r="X169" s="45"/>
      <c r="Y169" s="45"/>
      <c r="Z169" s="45"/>
      <c r="AA169" s="45"/>
      <c r="AB169" s="45"/>
    </row>
    <row r="170" spans="1:28" s="59" customFormat="1" ht="12.75" customHeight="1" thickBot="1">
      <c r="A170" s="45"/>
      <c r="B170" s="796"/>
      <c r="C170" s="797"/>
      <c r="D170" s="798"/>
      <c r="E170" s="799"/>
      <c r="F170" s="799"/>
      <c r="G170" s="799"/>
      <c r="H170" s="800"/>
      <c r="I170" s="800"/>
      <c r="J170" s="800"/>
      <c r="K170" s="799"/>
      <c r="L170" s="799"/>
      <c r="M170" s="799"/>
      <c r="N170" s="800"/>
      <c r="O170" s="801"/>
      <c r="P170" s="45"/>
      <c r="Q170" s="45"/>
      <c r="R170" s="45"/>
      <c r="S170" s="45"/>
      <c r="T170" s="45"/>
      <c r="U170" s="45"/>
      <c r="V170" s="45"/>
      <c r="W170" s="45"/>
      <c r="X170" s="45"/>
      <c r="Y170" s="45"/>
      <c r="Z170" s="45"/>
      <c r="AA170" s="45"/>
      <c r="AB170" s="45"/>
    </row>
    <row r="171" spans="1:28" s="59" customFormat="1" ht="12.75" customHeight="1">
      <c r="A171" s="45"/>
      <c r="C171" s="718"/>
      <c r="D171" s="28"/>
      <c r="E171" s="1497"/>
      <c r="F171" s="1497">
        <v>10</v>
      </c>
      <c r="G171" s="1497"/>
      <c r="H171" s="1497"/>
      <c r="I171" s="1497"/>
      <c r="O171" s="206"/>
      <c r="P171" s="45"/>
      <c r="Q171" s="45"/>
      <c r="R171" s="45"/>
      <c r="S171" s="45"/>
      <c r="T171" s="45"/>
      <c r="U171" s="45"/>
      <c r="V171" s="45"/>
      <c r="W171" s="45"/>
      <c r="X171" s="45"/>
      <c r="Y171" s="45"/>
      <c r="Z171" s="45"/>
      <c r="AA171" s="45"/>
      <c r="AB171" s="45"/>
    </row>
    <row r="172" spans="1:28" s="59" customFormat="1" ht="12.75" hidden="1" customHeight="1">
      <c r="A172" s="47" t="s">
        <v>87</v>
      </c>
      <c r="B172" s="55" t="s">
        <v>72</v>
      </c>
      <c r="C172" s="686" t="s">
        <v>72</v>
      </c>
      <c r="D172" s="491"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c r="A173" s="47" t="s">
        <v>87</v>
      </c>
      <c r="B173" s="250"/>
      <c r="C173" s="722"/>
      <c r="D173" s="251"/>
      <c r="E173" s="250"/>
      <c r="F173" s="250"/>
      <c r="G173" s="250"/>
      <c r="H173" s="250"/>
      <c r="I173" s="250"/>
      <c r="J173" s="250"/>
      <c r="K173" s="250"/>
      <c r="L173" s="250"/>
      <c r="M173" s="250"/>
      <c r="N173" s="250"/>
      <c r="O173" s="267"/>
      <c r="P173" s="45"/>
      <c r="Q173" s="45"/>
      <c r="R173" s="45"/>
      <c r="S173" s="45"/>
      <c r="T173" s="45"/>
      <c r="U173" s="45"/>
      <c r="V173" s="45"/>
      <c r="W173" s="45"/>
      <c r="X173" s="45"/>
      <c r="Y173" s="45"/>
      <c r="Z173" s="45"/>
      <c r="AA173" s="45"/>
      <c r="AB173" s="45"/>
    </row>
    <row r="174" spans="1:28" s="59" customFormat="1" ht="12.75" hidden="1" customHeight="1">
      <c r="A174" s="47" t="s">
        <v>87</v>
      </c>
      <c r="B174" s="250"/>
      <c r="C174" s="722"/>
      <c r="D174" s="251"/>
      <c r="E174" s="250"/>
      <c r="F174" s="250"/>
      <c r="G174" s="250"/>
      <c r="H174" s="250"/>
      <c r="I174" s="250"/>
      <c r="J174" s="250"/>
      <c r="K174" s="250"/>
      <c r="L174" s="250"/>
      <c r="M174" s="250"/>
      <c r="N174" s="250"/>
      <c r="O174" s="267"/>
      <c r="P174" s="45"/>
      <c r="Q174" s="45"/>
      <c r="R174" s="45"/>
      <c r="S174" s="45"/>
      <c r="T174" s="45"/>
      <c r="U174" s="45"/>
      <c r="V174" s="45"/>
      <c r="W174" s="45"/>
      <c r="X174" s="45"/>
      <c r="Y174" s="45"/>
      <c r="Z174" s="45"/>
      <c r="AA174" s="45"/>
      <c r="AB174" s="45"/>
    </row>
    <row r="175" spans="1:28" s="59" customFormat="1" ht="12.75" hidden="1" customHeight="1">
      <c r="A175" s="47" t="s">
        <v>87</v>
      </c>
      <c r="B175" s="250"/>
      <c r="C175" s="722"/>
      <c r="D175" s="251"/>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7"/>
      <c r="M175" s="7"/>
      <c r="N175" s="7"/>
      <c r="O175" s="7"/>
      <c r="P175" s="45"/>
      <c r="Q175" s="45"/>
      <c r="R175" s="45"/>
      <c r="S175" s="45"/>
      <c r="T175" s="45"/>
      <c r="U175" s="45"/>
      <c r="V175" s="45"/>
      <c r="W175" s="45"/>
      <c r="X175" s="45"/>
      <c r="Y175" s="45"/>
      <c r="Z175" s="45"/>
      <c r="AA175" s="45"/>
      <c r="AB175" s="45"/>
    </row>
    <row r="176" spans="1:28" s="59" customFormat="1" ht="12.75" hidden="1" customHeight="1">
      <c r="A176" s="47" t="s">
        <v>87</v>
      </c>
      <c r="B176" s="250"/>
      <c r="C176" s="722"/>
      <c r="D176" s="251"/>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7"/>
      <c r="M176" s="7"/>
      <c r="N176" s="7"/>
      <c r="O176" s="7"/>
      <c r="P176" s="45"/>
      <c r="Q176" s="45"/>
      <c r="R176" s="45"/>
      <c r="S176" s="45"/>
      <c r="T176" s="45"/>
      <c r="U176" s="45"/>
      <c r="V176" s="45"/>
      <c r="W176" s="45"/>
      <c r="X176" s="45"/>
      <c r="Y176" s="45"/>
      <c r="Z176" s="45"/>
      <c r="AA176" s="45"/>
      <c r="AB176" s="45"/>
    </row>
    <row r="177" spans="1:28" s="59" customFormat="1" ht="12.75" hidden="1" customHeight="1">
      <c r="A177" s="47" t="s">
        <v>87</v>
      </c>
      <c r="B177" s="250"/>
      <c r="C177" s="722"/>
      <c r="D177" s="251"/>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7"/>
      <c r="M177" s="7"/>
      <c r="N177" s="7"/>
      <c r="O177" s="7"/>
      <c r="P177" s="45"/>
      <c r="Q177" s="45"/>
      <c r="R177" s="45"/>
      <c r="S177" s="45"/>
      <c r="T177" s="45"/>
      <c r="U177" s="45"/>
      <c r="V177" s="45"/>
      <c r="W177" s="45"/>
      <c r="X177" s="45"/>
      <c r="Y177" s="45"/>
      <c r="Z177" s="45"/>
      <c r="AA177" s="45"/>
      <c r="AB177" s="45"/>
    </row>
    <row r="178" spans="1:28" s="59" customFormat="1" ht="12.75" hidden="1" customHeight="1">
      <c r="A178" s="47" t="s">
        <v>87</v>
      </c>
      <c r="B178" s="250"/>
      <c r="C178" s="722"/>
      <c r="D178" s="251"/>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7"/>
      <c r="M178" s="7"/>
      <c r="N178" s="7"/>
      <c r="O178" s="7"/>
      <c r="P178" s="45"/>
      <c r="Q178" s="45"/>
      <c r="R178" s="45"/>
      <c r="S178" s="45"/>
      <c r="T178" s="45"/>
      <c r="U178" s="45"/>
      <c r="V178" s="45"/>
      <c r="W178" s="45"/>
      <c r="X178" s="45"/>
      <c r="Y178" s="45"/>
      <c r="Z178" s="45"/>
      <c r="AA178" s="45"/>
      <c r="AB178" s="45"/>
    </row>
    <row r="179" spans="1:28" s="59" customFormat="1" ht="12.75" hidden="1" customHeight="1">
      <c r="A179" s="47" t="s">
        <v>87</v>
      </c>
      <c r="B179" s="250"/>
      <c r="C179" s="722"/>
      <c r="D179" s="251"/>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c r="A180" s="47" t="s">
        <v>87</v>
      </c>
      <c r="B180" s="250"/>
      <c r="C180" s="722"/>
      <c r="D180" s="251"/>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c r="A181" s="47" t="s">
        <v>87</v>
      </c>
      <c r="B181" s="250"/>
      <c r="C181" s="722"/>
      <c r="D181" s="251"/>
      <c r="E181" s="7"/>
      <c r="F181" s="252"/>
      <c r="G181" s="253"/>
      <c r="H181" s="253"/>
      <c r="I181" s="253" t="s">
        <v>436</v>
      </c>
      <c r="J181" s="253"/>
      <c r="K181" s="253" t="s">
        <v>341</v>
      </c>
      <c r="L181" s="253"/>
      <c r="M181" s="635" t="s">
        <v>437</v>
      </c>
      <c r="N181" s="7"/>
      <c r="O181" s="7"/>
      <c r="P181" s="45"/>
      <c r="Q181" s="45"/>
      <c r="R181" s="45"/>
      <c r="S181" s="45"/>
      <c r="T181" s="45"/>
      <c r="U181" s="45"/>
      <c r="V181" s="45"/>
      <c r="W181" s="45"/>
      <c r="X181" s="45"/>
      <c r="Y181" s="45"/>
      <c r="Z181" s="45"/>
      <c r="AA181" s="45"/>
      <c r="AB181" s="45"/>
    </row>
    <row r="182" spans="1:28" s="59" customFormat="1" ht="12.75" hidden="1" customHeight="1">
      <c r="A182" s="47" t="s">
        <v>87</v>
      </c>
      <c r="B182" s="250"/>
      <c r="C182" s="722"/>
      <c r="D182" s="251"/>
      <c r="E182" s="7"/>
      <c r="F182" s="254">
        <v>1</v>
      </c>
      <c r="G182" s="255" t="str">
        <f>INDEX(EUConst_TierActivityListNames,F182)</f>
        <v>Degimas: Komercinis standartinių rūšių kuras</v>
      </c>
      <c r="H182" s="255">
        <f t="shared" ref="H182:H188" si="30">F182</f>
        <v>1</v>
      </c>
      <c r="I182" s="16"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c r="A183" s="47" t="s">
        <v>87</v>
      </c>
      <c r="B183" s="250"/>
      <c r="C183" s="722"/>
      <c r="D183" s="251"/>
      <c r="E183" s="7"/>
      <c r="F183" s="256">
        <v>2</v>
      </c>
      <c r="G183" s="257" t="str">
        <f t="shared" ref="G183:G223" si="31">INDEX(EUConst_TierActivityListNames,F183)</f>
        <v>Degimas: Kitas dujinis ir skystasis kuras</v>
      </c>
      <c r="H183" s="257">
        <f t="shared" si="30"/>
        <v>2</v>
      </c>
      <c r="I183" s="17" t="str">
        <f>IF(ISERROR(INDEX(EUConst_TierActivityListNames,MATCH(F183,$H$182:$H$223,0))),"",INDEX(EUConst_TierActivityListNames,MATCH(F183,$H$182:$H$223,0)))</f>
        <v>Degimas: Kitas dujinis ir skystasis kuras</v>
      </c>
      <c r="J183" s="257"/>
      <c r="K183" s="257"/>
      <c r="L183" s="257"/>
      <c r="M183" s="258"/>
      <c r="N183" s="7"/>
      <c r="O183" s="7"/>
      <c r="P183" s="45"/>
      <c r="Q183" s="45"/>
      <c r="R183" s="45"/>
      <c r="S183" s="45"/>
      <c r="T183" s="45"/>
      <c r="U183" s="45"/>
      <c r="V183" s="45"/>
      <c r="W183" s="45"/>
      <c r="X183" s="45"/>
      <c r="Y183" s="45"/>
      <c r="Z183" s="45"/>
      <c r="AA183" s="45"/>
      <c r="AB183" s="45"/>
    </row>
    <row r="184" spans="1:28" s="59" customFormat="1" ht="12.75" hidden="1" customHeight="1">
      <c r="A184" s="47" t="s">
        <v>87</v>
      </c>
      <c r="B184" s="250"/>
      <c r="C184" s="722"/>
      <c r="D184" s="251"/>
      <c r="E184" s="7"/>
      <c r="F184" s="256">
        <v>3</v>
      </c>
      <c r="G184" s="257" t="str">
        <f t="shared" si="31"/>
        <v>Degimas: Kietasis kuras</v>
      </c>
      <c r="H184" s="257">
        <f t="shared" si="30"/>
        <v>3</v>
      </c>
      <c r="I184" s="17" t="str">
        <f t="shared" ref="I184:I223" si="32">IF(ISERROR(INDEX(EUConst_TierActivityListNames,MATCH(F184,$H$182:$H$223,0))),"",INDEX(EUConst_TierActivityListNames,MATCH(F184,$H$182:$H$223,0)))</f>
        <v>Degimas: Kietasis kuras</v>
      </c>
      <c r="J184" s="257"/>
      <c r="K184" s="257"/>
      <c r="L184" s="257"/>
      <c r="M184" s="258"/>
      <c r="N184" s="7"/>
      <c r="O184" s="7"/>
      <c r="P184" s="45"/>
      <c r="Q184" s="45"/>
      <c r="R184" s="45"/>
      <c r="S184" s="45"/>
      <c r="T184" s="45"/>
      <c r="U184" s="45"/>
      <c r="V184" s="45"/>
      <c r="W184" s="45"/>
      <c r="X184" s="45"/>
      <c r="Y184" s="45"/>
      <c r="Z184" s="45"/>
      <c r="AA184" s="45"/>
      <c r="AB184" s="45"/>
    </row>
    <row r="185" spans="1:28" s="59" customFormat="1" ht="12.75" hidden="1" customHeight="1">
      <c r="A185" s="47" t="s">
        <v>87</v>
      </c>
      <c r="B185" s="250"/>
      <c r="C185" s="722"/>
      <c r="D185" s="251"/>
      <c r="E185" s="7"/>
      <c r="F185" s="256">
        <v>4</v>
      </c>
      <c r="G185" s="257" t="str">
        <f t="shared" si="31"/>
        <v>Degimas: Dujų perdirbimo terminalai</v>
      </c>
      <c r="H185" s="257">
        <f t="shared" si="30"/>
        <v>4</v>
      </c>
      <c r="I185" s="17" t="str">
        <f t="shared" si="32"/>
        <v>Degimas: Dujų perdirbimo terminalai</v>
      </c>
      <c r="J185" s="257"/>
      <c r="K185" s="257"/>
      <c r="L185" s="257"/>
      <c r="M185" s="258"/>
      <c r="N185" s="7"/>
      <c r="O185" s="7"/>
      <c r="P185" s="45"/>
      <c r="Q185" s="45"/>
      <c r="R185" s="45"/>
      <c r="S185" s="45"/>
      <c r="T185" s="45"/>
      <c r="U185" s="45"/>
      <c r="V185" s="45"/>
      <c r="W185" s="45"/>
      <c r="X185" s="45"/>
      <c r="Y185" s="45"/>
      <c r="Z185" s="45"/>
      <c r="AA185" s="45"/>
      <c r="AB185" s="45"/>
    </row>
    <row r="186" spans="1:28" s="59" customFormat="1" ht="12.75" hidden="1" customHeight="1">
      <c r="A186" s="47" t="s">
        <v>87</v>
      </c>
      <c r="B186" s="250"/>
      <c r="C186" s="722"/>
      <c r="D186" s="251"/>
      <c r="E186" s="7"/>
      <c r="F186" s="256">
        <v>5</v>
      </c>
      <c r="G186" s="257" t="str">
        <f t="shared" si="31"/>
        <v>Degimas: Fakelai</v>
      </c>
      <c r="H186" s="257">
        <f t="shared" si="30"/>
        <v>5</v>
      </c>
      <c r="I186" s="17" t="str">
        <f t="shared" si="32"/>
        <v>Degimas: Fakelai</v>
      </c>
      <c r="J186" s="257"/>
      <c r="K186" s="257"/>
      <c r="L186" s="257"/>
      <c r="M186" s="258"/>
      <c r="N186" s="7"/>
      <c r="O186" s="7"/>
      <c r="P186" s="45"/>
      <c r="Q186" s="45"/>
      <c r="R186" s="45"/>
      <c r="S186" s="45"/>
      <c r="T186" s="45"/>
      <c r="U186" s="45"/>
      <c r="V186" s="45"/>
      <c r="W186" s="45"/>
      <c r="X186" s="45"/>
      <c r="Y186" s="45"/>
      <c r="Z186" s="45"/>
      <c r="AA186" s="45"/>
      <c r="AB186" s="45"/>
    </row>
    <row r="187" spans="1:28" s="59" customFormat="1" ht="12.75" hidden="1" customHeight="1">
      <c r="A187" s="47" t="s">
        <v>87</v>
      </c>
      <c r="B187" s="250"/>
      <c r="C187" s="722"/>
      <c r="D187" s="251"/>
      <c r="E187" s="7"/>
      <c r="F187" s="256">
        <v>6</v>
      </c>
      <c r="G187" s="257" t="str">
        <f t="shared" si="31"/>
        <v>Degimas: Dujų plovimas (karbonatai)</v>
      </c>
      <c r="H187" s="257">
        <f t="shared" si="30"/>
        <v>6</v>
      </c>
      <c r="I187" s="17" t="str">
        <f t="shared" si="32"/>
        <v>Degimas: Dujų plovimas (karbonatai)</v>
      </c>
      <c r="J187" s="257"/>
      <c r="K187" s="257"/>
      <c r="L187" s="257"/>
      <c r="M187" s="258"/>
      <c r="N187" s="7"/>
      <c r="O187" s="7"/>
      <c r="P187" s="45"/>
      <c r="Q187" s="45"/>
      <c r="R187" s="45"/>
      <c r="S187" s="45"/>
      <c r="T187" s="45"/>
      <c r="U187" s="45"/>
      <c r="V187" s="45"/>
      <c r="W187" s="45"/>
      <c r="X187" s="45"/>
      <c r="Y187" s="45"/>
      <c r="Z187" s="45"/>
      <c r="AA187" s="45"/>
      <c r="AB187" s="45"/>
    </row>
    <row r="188" spans="1:28" s="59" customFormat="1" ht="12.75" hidden="1" customHeight="1" thickBot="1">
      <c r="A188" s="47" t="s">
        <v>87</v>
      </c>
      <c r="B188" s="250"/>
      <c r="C188" s="722"/>
      <c r="D188" s="251"/>
      <c r="E188" s="7"/>
      <c r="F188" s="259">
        <v>7</v>
      </c>
      <c r="G188" s="260" t="str">
        <f t="shared" si="31"/>
        <v>Degimas: Dujų plovimas (gipsas)</v>
      </c>
      <c r="H188" s="260">
        <f t="shared" si="30"/>
        <v>7</v>
      </c>
      <c r="I188" s="18" t="str">
        <f t="shared" si="32"/>
        <v>Degimas: Dujų plovimas (gipsas)</v>
      </c>
      <c r="J188" s="260"/>
      <c r="K188" s="260"/>
      <c r="L188" s="260"/>
      <c r="M188" s="261"/>
      <c r="N188" s="7"/>
      <c r="O188" s="7"/>
      <c r="P188" s="45"/>
      <c r="Q188" s="45"/>
      <c r="R188" s="45"/>
      <c r="S188" s="45"/>
      <c r="T188" s="45"/>
      <c r="U188" s="45"/>
      <c r="V188" s="45"/>
      <c r="W188" s="45"/>
      <c r="X188" s="45"/>
      <c r="Y188" s="45"/>
      <c r="Z188" s="45"/>
      <c r="AA188" s="45"/>
      <c r="AB188" s="45"/>
    </row>
    <row r="189" spans="1:28" s="59" customFormat="1" ht="12.75" hidden="1" customHeight="1">
      <c r="A189" s="47" t="s">
        <v>87</v>
      </c>
      <c r="B189" s="250"/>
      <c r="C189" s="722"/>
      <c r="D189" s="251"/>
      <c r="E189" s="7"/>
      <c r="F189" s="262">
        <v>8</v>
      </c>
      <c r="G189" s="263" t="str">
        <f t="shared" si="31"/>
        <v>Naftos perdirbimo įrenginiai: Masės balansas</v>
      </c>
      <c r="H189" s="263" t="str">
        <f>IF(COUNTIF($G$175:$J$179,G189)&gt;0,MAX(H$188:H188)+1,"")</f>
        <v/>
      </c>
      <c r="I189" s="172" t="str">
        <f t="shared" si="32"/>
        <v/>
      </c>
      <c r="J189" s="263"/>
      <c r="K189" s="263"/>
      <c r="L189" s="263"/>
      <c r="M189" s="264"/>
      <c r="N189" s="7"/>
      <c r="O189" s="7"/>
      <c r="P189" s="45"/>
      <c r="Q189" s="45"/>
      <c r="R189" s="45"/>
      <c r="S189" s="45"/>
      <c r="T189" s="45"/>
      <c r="U189" s="45"/>
      <c r="V189" s="45"/>
      <c r="W189" s="45"/>
      <c r="X189" s="45"/>
      <c r="Y189" s="45"/>
      <c r="Z189" s="45"/>
      <c r="AA189" s="45"/>
      <c r="AB189" s="45"/>
    </row>
    <row r="190" spans="1:28" s="59" customFormat="1" ht="12.75" hidden="1" customHeight="1">
      <c r="A190" s="47" t="s">
        <v>87</v>
      </c>
      <c r="B190" s="250"/>
      <c r="C190" s="722"/>
      <c r="D190" s="251"/>
      <c r="E190" s="7"/>
      <c r="F190" s="256">
        <v>9</v>
      </c>
      <c r="G190" s="257" t="str">
        <f>INDEX(EUConst_TierActivityListNames,F190)</f>
        <v>Naftos perdirbimo įrenginiai: Regeneravimas katalizinio krekingo įrenginiu</v>
      </c>
      <c r="H190" s="257" t="str">
        <f>IF(COUNTIF($G$175:$J$179,G190)&gt;0,MAX(H$188:H189)+1,"")</f>
        <v/>
      </c>
      <c r="I190" s="17" t="str">
        <f>IF(ISERROR(INDEX(EUConst_TierActivityListNames,MATCH(F190,$H$182:$H$223,0))),"",INDEX(EUConst_TierActivityListNames,MATCH(F190,$H$182:$H$223,0)))</f>
        <v/>
      </c>
      <c r="J190" s="257"/>
      <c r="K190" s="257"/>
      <c r="L190" s="257"/>
      <c r="M190" s="258"/>
      <c r="N190" s="7"/>
      <c r="O190" s="7"/>
      <c r="P190" s="45"/>
      <c r="Q190" s="45"/>
      <c r="R190" s="45"/>
      <c r="S190" s="45"/>
      <c r="T190" s="45"/>
      <c r="U190" s="45"/>
      <c r="V190" s="45"/>
      <c r="W190" s="45"/>
      <c r="X190" s="45"/>
      <c r="Y190" s="45"/>
      <c r="Z190" s="45"/>
      <c r="AA190" s="45"/>
      <c r="AB190" s="45"/>
    </row>
    <row r="191" spans="1:28" s="59" customFormat="1" ht="12.75" hidden="1" customHeight="1">
      <c r="A191" s="47" t="s">
        <v>87</v>
      </c>
      <c r="B191" s="250"/>
      <c r="C191" s="722"/>
      <c r="D191" s="251"/>
      <c r="E191" s="7"/>
      <c r="F191" s="256">
        <v>10</v>
      </c>
      <c r="G191" s="257" t="str">
        <f t="shared" si="31"/>
        <v>Naftos perdirbimo įrenginiai: Vandenilio gamyba</v>
      </c>
      <c r="H191" s="257" t="str">
        <f>IF(COUNTIF($G$175:$J$179,G191)&gt;0,MAX(H$188:H190)+1,"")</f>
        <v/>
      </c>
      <c r="I191" s="17" t="str">
        <f t="shared" si="32"/>
        <v/>
      </c>
      <c r="J191" s="257"/>
      <c r="K191" s="257"/>
      <c r="L191" s="257"/>
      <c r="M191" s="258"/>
      <c r="N191" s="7"/>
      <c r="O191" s="7"/>
      <c r="P191" s="45"/>
      <c r="Q191" s="45"/>
      <c r="R191" s="45"/>
      <c r="S191" s="45"/>
      <c r="T191" s="45"/>
      <c r="U191" s="45"/>
      <c r="V191" s="45"/>
      <c r="W191" s="45"/>
      <c r="X191" s="45"/>
      <c r="Y191" s="45"/>
      <c r="Z191" s="45"/>
      <c r="AA191" s="45"/>
      <c r="AB191" s="45"/>
    </row>
    <row r="192" spans="1:28" s="59" customFormat="1" ht="12.75" hidden="1" customHeight="1">
      <c r="A192" s="47" t="s">
        <v>87</v>
      </c>
      <c r="B192" s="250"/>
      <c r="C192" s="722"/>
      <c r="D192" s="251"/>
      <c r="E192" s="7"/>
      <c r="F192" s="256">
        <v>11</v>
      </c>
      <c r="G192" s="257" t="str">
        <f t="shared" si="31"/>
        <v>Koksas: Kuras kaip proceso žaliava</v>
      </c>
      <c r="H192" s="257" t="str">
        <f>IF(COUNTIF($G$175:$J$179,G192)&gt;0,MAX(H$188:H191)+1,"")</f>
        <v/>
      </c>
      <c r="I192" s="17" t="str">
        <f t="shared" si="32"/>
        <v/>
      </c>
      <c r="J192" s="257"/>
      <c r="K192" s="257"/>
      <c r="L192" s="257"/>
      <c r="M192" s="258"/>
      <c r="N192" s="7"/>
      <c r="O192" s="7"/>
      <c r="P192" s="45"/>
      <c r="Q192" s="45"/>
      <c r="R192" s="45"/>
      <c r="S192" s="45"/>
      <c r="T192" s="45"/>
      <c r="U192" s="45"/>
      <c r="V192" s="45"/>
      <c r="W192" s="45"/>
      <c r="X192" s="45"/>
      <c r="Y192" s="45"/>
      <c r="Z192" s="45"/>
      <c r="AA192" s="45"/>
      <c r="AB192" s="45"/>
    </row>
    <row r="193" spans="1:28" s="59" customFormat="1" ht="12.75" hidden="1" customHeight="1">
      <c r="A193" s="47" t="s">
        <v>87</v>
      </c>
      <c r="B193" s="250"/>
      <c r="C193" s="722"/>
      <c r="D193" s="251"/>
      <c r="E193" s="7"/>
      <c r="F193" s="256">
        <v>12</v>
      </c>
      <c r="G193" s="257" t="str">
        <f t="shared" si="31"/>
        <v>Koksas: Karbonatų sąnaudos (A metodas)</v>
      </c>
      <c r="H193" s="257" t="str">
        <f>IF(COUNTIF($G$175:$J$179,G193)&gt;0,MAX(H$188:H192)+1,"")</f>
        <v/>
      </c>
      <c r="I193" s="17" t="str">
        <f t="shared" si="32"/>
        <v/>
      </c>
      <c r="J193" s="257"/>
      <c r="K193" s="257"/>
      <c r="L193" s="257"/>
      <c r="M193" s="258"/>
      <c r="N193" s="7"/>
      <c r="O193" s="7"/>
      <c r="P193" s="45"/>
      <c r="Q193" s="45"/>
      <c r="R193" s="45"/>
      <c r="S193" s="45"/>
      <c r="T193" s="45"/>
      <c r="U193" s="45"/>
      <c r="V193" s="45"/>
      <c r="W193" s="45"/>
      <c r="X193" s="45"/>
      <c r="Y193" s="45"/>
      <c r="Z193" s="45"/>
      <c r="AA193" s="45"/>
      <c r="AB193" s="45"/>
    </row>
    <row r="194" spans="1:28" s="59" customFormat="1" ht="12.75" hidden="1" customHeight="1">
      <c r="A194" s="47" t="s">
        <v>87</v>
      </c>
      <c r="B194" s="250"/>
      <c r="C194" s="722"/>
      <c r="D194" s="251"/>
      <c r="E194" s="7"/>
      <c r="F194" s="256">
        <v>13</v>
      </c>
      <c r="G194" s="257" t="str">
        <f t="shared" si="31"/>
        <v>Koksas: Oksido išeiga (B metodas)</v>
      </c>
      <c r="H194" s="257" t="str">
        <f>IF(COUNTIF($G$175:$J$179,G194)&gt;0,MAX(H$188:H193)+1,"")</f>
        <v/>
      </c>
      <c r="I194" s="17" t="str">
        <f t="shared" si="32"/>
        <v/>
      </c>
      <c r="J194" s="257"/>
      <c r="K194" s="257"/>
      <c r="L194" s="257"/>
      <c r="M194" s="258"/>
      <c r="N194" s="7"/>
      <c r="O194" s="7"/>
      <c r="P194" s="45"/>
      <c r="Q194" s="45"/>
      <c r="R194" s="45"/>
      <c r="S194" s="45"/>
      <c r="T194" s="45"/>
      <c r="U194" s="45"/>
      <c r="V194" s="45"/>
      <c r="W194" s="45"/>
      <c r="X194" s="45"/>
      <c r="Y194" s="45"/>
      <c r="Z194" s="45"/>
      <c r="AA194" s="45"/>
      <c r="AB194" s="45"/>
    </row>
    <row r="195" spans="1:28" s="59" customFormat="1" ht="12.75" hidden="1" customHeight="1">
      <c r="A195" s="47" t="s">
        <v>87</v>
      </c>
      <c r="B195" s="250"/>
      <c r="C195" s="722"/>
      <c r="D195" s="251"/>
      <c r="E195" s="7"/>
      <c r="F195" s="256">
        <v>14</v>
      </c>
      <c r="G195" s="257" t="str">
        <f t="shared" si="31"/>
        <v>Koksas: Masės balansas</v>
      </c>
      <c r="H195" s="257" t="str">
        <f>IF(COUNTIF($G$175:$J$179,G195)&gt;0,MAX(H$188:H194)+1,"")</f>
        <v/>
      </c>
      <c r="I195" s="17" t="str">
        <f t="shared" si="32"/>
        <v/>
      </c>
      <c r="J195" s="257"/>
      <c r="K195" s="257"/>
      <c r="L195" s="257"/>
      <c r="M195" s="258"/>
      <c r="N195" s="7"/>
      <c r="O195" s="7"/>
      <c r="P195" s="45"/>
      <c r="Q195" s="45"/>
      <c r="R195" s="45"/>
      <c r="S195" s="45"/>
      <c r="T195" s="45"/>
      <c r="U195" s="45"/>
      <c r="V195" s="45"/>
      <c r="W195" s="45"/>
      <c r="X195" s="45"/>
      <c r="Y195" s="45"/>
      <c r="Z195" s="45"/>
      <c r="AA195" s="45"/>
      <c r="AB195" s="45"/>
    </row>
    <row r="196" spans="1:28" s="59" customFormat="1" ht="12.75" hidden="1" customHeight="1">
      <c r="A196" s="47" t="s">
        <v>87</v>
      </c>
      <c r="B196" s="250"/>
      <c r="C196" s="722"/>
      <c r="D196" s="251"/>
      <c r="E196" s="7"/>
      <c r="F196" s="256">
        <v>15</v>
      </c>
      <c r="G196" s="257" t="str">
        <f t="shared" si="31"/>
        <v>Metalų rūda: Karbonatų sąnaudos</v>
      </c>
      <c r="H196" s="257" t="str">
        <f>IF(COUNTIF($G$175:$J$179,G196)&gt;0,MAX(H$188:H195)+1,"")</f>
        <v/>
      </c>
      <c r="I196" s="17" t="str">
        <f t="shared" si="32"/>
        <v/>
      </c>
      <c r="J196" s="257"/>
      <c r="K196" s="257"/>
      <c r="L196" s="257"/>
      <c r="M196" s="258"/>
      <c r="N196" s="7"/>
      <c r="O196" s="7"/>
      <c r="P196" s="45"/>
      <c r="Q196" s="45"/>
      <c r="R196" s="45"/>
      <c r="S196" s="45"/>
      <c r="T196" s="45"/>
      <c r="U196" s="45"/>
      <c r="V196" s="45"/>
      <c r="W196" s="45"/>
      <c r="X196" s="45"/>
      <c r="Y196" s="45"/>
      <c r="Z196" s="45"/>
      <c r="AA196" s="45"/>
      <c r="AB196" s="45"/>
    </row>
    <row r="197" spans="1:28" s="59" customFormat="1" ht="12.75" hidden="1" customHeight="1">
      <c r="A197" s="47" t="s">
        <v>87</v>
      </c>
      <c r="B197" s="250"/>
      <c r="C197" s="722"/>
      <c r="D197" s="251"/>
      <c r="E197" s="7"/>
      <c r="F197" s="256">
        <v>16</v>
      </c>
      <c r="G197" s="257" t="str">
        <f t="shared" si="31"/>
        <v>Metalų rūda: Masės balansas</v>
      </c>
      <c r="H197" s="257" t="str">
        <f>IF(COUNTIF($G$175:$J$179,G197)&gt;0,MAX(H$188:H196)+1,"")</f>
        <v/>
      </c>
      <c r="I197" s="17" t="str">
        <f t="shared" si="32"/>
        <v/>
      </c>
      <c r="J197" s="257"/>
      <c r="K197" s="257"/>
      <c r="L197" s="257"/>
      <c r="M197" s="258"/>
      <c r="N197" s="7"/>
      <c r="O197" s="7"/>
      <c r="P197" s="45"/>
      <c r="Q197" s="45"/>
      <c r="R197" s="45"/>
      <c r="S197" s="45"/>
      <c r="T197" s="45"/>
      <c r="U197" s="45"/>
      <c r="V197" s="45"/>
      <c r="W197" s="45"/>
      <c r="X197" s="45"/>
      <c r="Y197" s="45"/>
      <c r="Z197" s="45"/>
      <c r="AA197" s="45"/>
      <c r="AB197" s="45"/>
    </row>
    <row r="198" spans="1:28" s="59" customFormat="1" ht="12.75" hidden="1" customHeight="1">
      <c r="A198" s="47" t="s">
        <v>87</v>
      </c>
      <c r="B198" s="250"/>
      <c r="C198" s="722"/>
      <c r="D198" s="251"/>
      <c r="E198" s="7"/>
      <c r="F198" s="256">
        <v>17</v>
      </c>
      <c r="G198" s="257" t="str">
        <f t="shared" si="31"/>
        <v>Geležis ir plienas: Kuras kaip proceso žaliava</v>
      </c>
      <c r="H198" s="257" t="str">
        <f>IF(COUNTIF($G$175:$J$179,G198)&gt;0,MAX(H$188:H197)+1,"")</f>
        <v/>
      </c>
      <c r="I198" s="17" t="str">
        <f t="shared" si="32"/>
        <v/>
      </c>
      <c r="J198" s="257"/>
      <c r="K198" s="257"/>
      <c r="L198" s="257"/>
      <c r="M198" s="258"/>
      <c r="N198" s="7"/>
      <c r="O198" s="7"/>
      <c r="P198" s="45"/>
      <c r="Q198" s="45"/>
      <c r="R198" s="45"/>
      <c r="S198" s="45"/>
      <c r="T198" s="45"/>
      <c r="U198" s="45"/>
      <c r="V198" s="45"/>
      <c r="W198" s="45"/>
      <c r="X198" s="45"/>
      <c r="Y198" s="45"/>
      <c r="Z198" s="45"/>
      <c r="AA198" s="45"/>
      <c r="AB198" s="45"/>
    </row>
    <row r="199" spans="1:28" s="59" customFormat="1" ht="12.75" hidden="1" customHeight="1">
      <c r="A199" s="47" t="s">
        <v>87</v>
      </c>
      <c r="B199" s="250"/>
      <c r="C199" s="722"/>
      <c r="D199" s="251"/>
      <c r="E199" s="7"/>
      <c r="F199" s="256">
        <v>18</v>
      </c>
      <c r="G199" s="257" t="str">
        <f t="shared" si="31"/>
        <v>Geležis ir plienas: Karbonatų sąnaudos</v>
      </c>
      <c r="H199" s="257" t="str">
        <f>IF(COUNTIF($G$175:$J$179,G199)&gt;0,MAX(H$188:H198)+1,"")</f>
        <v/>
      </c>
      <c r="I199" s="17" t="str">
        <f t="shared" si="32"/>
        <v/>
      </c>
      <c r="J199" s="257"/>
      <c r="K199" s="257"/>
      <c r="L199" s="257"/>
      <c r="M199" s="258"/>
      <c r="N199" s="7"/>
      <c r="O199" s="7"/>
      <c r="P199" s="45"/>
      <c r="Q199" s="45"/>
      <c r="R199" s="45"/>
      <c r="S199" s="45"/>
      <c r="T199" s="45"/>
      <c r="U199" s="45"/>
      <c r="V199" s="45"/>
      <c r="W199" s="45"/>
      <c r="X199" s="45"/>
      <c r="Y199" s="45"/>
      <c r="Z199" s="45"/>
      <c r="AA199" s="45"/>
      <c r="AB199" s="45"/>
    </row>
    <row r="200" spans="1:28" s="59" customFormat="1" ht="12.75" hidden="1" customHeight="1">
      <c r="A200" s="47" t="s">
        <v>87</v>
      </c>
      <c r="B200" s="250"/>
      <c r="C200" s="722"/>
      <c r="D200" s="251"/>
      <c r="E200" s="7"/>
      <c r="F200" s="256">
        <v>19</v>
      </c>
      <c r="G200" s="257" t="str">
        <f t="shared" si="31"/>
        <v>Geležis ir plienas: Masės balansas</v>
      </c>
      <c r="H200" s="257" t="str">
        <f>IF(COUNTIF($G$175:$J$179,G200)&gt;0,MAX(H$188:H199)+1,"")</f>
        <v/>
      </c>
      <c r="I200" s="17" t="str">
        <f t="shared" si="32"/>
        <v/>
      </c>
      <c r="J200" s="257"/>
      <c r="K200" s="257"/>
      <c r="L200" s="257"/>
      <c r="M200" s="258"/>
      <c r="N200" s="7"/>
      <c r="O200" s="7"/>
      <c r="P200" s="45"/>
      <c r="Q200" s="45"/>
      <c r="R200" s="45"/>
      <c r="S200" s="45"/>
      <c r="T200" s="45"/>
      <c r="U200" s="45"/>
      <c r="V200" s="45"/>
      <c r="W200" s="45"/>
      <c r="X200" s="45"/>
      <c r="Y200" s="45"/>
      <c r="Z200" s="45"/>
      <c r="AA200" s="45"/>
      <c r="AB200" s="45"/>
    </row>
    <row r="201" spans="1:28" s="59" customFormat="1" ht="12.75" hidden="1" customHeight="1">
      <c r="A201" s="47" t="s">
        <v>87</v>
      </c>
      <c r="B201" s="250"/>
      <c r="C201" s="722"/>
      <c r="D201" s="251"/>
      <c r="E201" s="7"/>
      <c r="F201" s="256">
        <v>20</v>
      </c>
      <c r="G201" s="257" t="str">
        <f t="shared" si="31"/>
        <v>Cemento klinkeriai: Grindžiamas krosnies žaliava (A metodas)</v>
      </c>
      <c r="H201" s="257" t="str">
        <f>IF(COUNTIF($G$175:$J$179,G201)&gt;0,MAX(H$188:H200)+1,"")</f>
        <v/>
      </c>
      <c r="I201" s="17" t="str">
        <f t="shared" si="32"/>
        <v/>
      </c>
      <c r="J201" s="257"/>
      <c r="K201" s="257"/>
      <c r="L201" s="257"/>
      <c r="M201" s="258"/>
      <c r="N201" s="7"/>
      <c r="O201" s="7"/>
      <c r="P201" s="45"/>
      <c r="Q201" s="45"/>
      <c r="R201" s="45"/>
      <c r="S201" s="45"/>
      <c r="T201" s="45"/>
      <c r="U201" s="45"/>
      <c r="V201" s="45"/>
      <c r="W201" s="45"/>
      <c r="X201" s="45"/>
      <c r="Y201" s="45"/>
      <c r="Z201" s="45"/>
      <c r="AA201" s="45"/>
      <c r="AB201" s="45"/>
    </row>
    <row r="202" spans="1:28" s="59" customFormat="1" ht="12.75" hidden="1" customHeight="1">
      <c r="A202" s="47" t="s">
        <v>87</v>
      </c>
      <c r="B202" s="250"/>
      <c r="C202" s="722"/>
      <c r="D202" s="251"/>
      <c r="E202" s="7"/>
      <c r="F202" s="256">
        <v>21</v>
      </c>
      <c r="G202" s="257" t="str">
        <f t="shared" si="31"/>
        <v>Cemento klinkeriai: Klinkerio išeiga (B metodas)</v>
      </c>
      <c r="H202" s="257" t="str">
        <f>IF(COUNTIF($G$175:$J$179,G202)&gt;0,MAX(H$188:H201)+1,"")</f>
        <v/>
      </c>
      <c r="I202" s="17" t="str">
        <f t="shared" si="32"/>
        <v/>
      </c>
      <c r="J202" s="257"/>
      <c r="K202" s="257"/>
      <c r="L202" s="257"/>
      <c r="M202" s="258"/>
      <c r="N202" s="7"/>
      <c r="O202" s="7"/>
      <c r="P202" s="45"/>
      <c r="Q202" s="45"/>
      <c r="R202" s="45"/>
      <c r="S202" s="45"/>
      <c r="T202" s="45"/>
      <c r="U202" s="45"/>
      <c r="V202" s="45"/>
      <c r="W202" s="45"/>
      <c r="X202" s="45"/>
      <c r="Y202" s="45"/>
      <c r="Z202" s="45"/>
      <c r="AA202" s="45"/>
      <c r="AB202" s="45"/>
    </row>
    <row r="203" spans="1:28" s="59" customFormat="1" ht="12.75" hidden="1" customHeight="1">
      <c r="A203" s="47" t="s">
        <v>87</v>
      </c>
      <c r="B203" s="250"/>
      <c r="C203" s="722"/>
      <c r="D203" s="251"/>
      <c r="E203" s="7"/>
      <c r="F203" s="256">
        <v>22</v>
      </c>
      <c r="G203" s="257" t="str">
        <f t="shared" si="31"/>
        <v>Cemento klinkeriai: Cemento degimo krosnių dulkės</v>
      </c>
      <c r="H203" s="257" t="str">
        <f>IF(COUNTIF($G$175:$J$179,G203)&gt;0,MAX(H$188:H202)+1,"")</f>
        <v/>
      </c>
      <c r="I203" s="17" t="str">
        <f t="shared" si="32"/>
        <v/>
      </c>
      <c r="J203" s="257"/>
      <c r="K203" s="257"/>
      <c r="L203" s="257"/>
      <c r="M203" s="258"/>
      <c r="N203" s="7"/>
      <c r="O203" s="7"/>
      <c r="P203" s="45"/>
      <c r="Q203" s="45"/>
      <c r="R203" s="45"/>
      <c r="S203" s="45"/>
      <c r="T203" s="45"/>
      <c r="U203" s="45"/>
      <c r="V203" s="45"/>
      <c r="W203" s="45"/>
      <c r="X203" s="45"/>
      <c r="Y203" s="45"/>
      <c r="Z203" s="45"/>
      <c r="AA203" s="45"/>
      <c r="AB203" s="45"/>
    </row>
    <row r="204" spans="1:28" s="59" customFormat="1" ht="12.75" hidden="1" customHeight="1">
      <c r="A204" s="47" t="s">
        <v>87</v>
      </c>
      <c r="B204" s="250"/>
      <c r="C204" s="722"/>
      <c r="D204" s="251"/>
      <c r="E204" s="7"/>
      <c r="F204" s="256">
        <v>23</v>
      </c>
      <c r="G204" s="257" t="str">
        <f t="shared" si="31"/>
        <v>Cemento klinkeriai: Nekarbonatinė anglis</v>
      </c>
      <c r="H204" s="257" t="str">
        <f>IF(COUNTIF($G$175:$J$179,G204)&gt;0,MAX(H$188:H203)+1,"")</f>
        <v/>
      </c>
      <c r="I204" s="17" t="str">
        <f t="shared" si="32"/>
        <v/>
      </c>
      <c r="J204" s="257"/>
      <c r="K204" s="257"/>
      <c r="L204" s="257"/>
      <c r="M204" s="258"/>
      <c r="N204" s="7"/>
      <c r="O204" s="7"/>
      <c r="P204" s="45"/>
      <c r="Q204" s="45"/>
      <c r="R204" s="45"/>
      <c r="S204" s="45"/>
      <c r="T204" s="45"/>
      <c r="U204" s="45"/>
      <c r="V204" s="45"/>
      <c r="W204" s="45"/>
      <c r="X204" s="45"/>
      <c r="Y204" s="45"/>
      <c r="Z204" s="45"/>
      <c r="AA204" s="45"/>
      <c r="AB204" s="45"/>
    </row>
    <row r="205" spans="1:28" s="59" customFormat="1" ht="12.75" hidden="1" customHeight="1">
      <c r="A205" s="47" t="s">
        <v>87</v>
      </c>
      <c r="B205" s="250"/>
      <c r="C205" s="722"/>
      <c r="D205" s="251"/>
      <c r="E205" s="7"/>
      <c r="F205" s="256">
        <v>24</v>
      </c>
      <c r="G205" s="257" t="str">
        <f t="shared" si="31"/>
        <v>Kalkės, dolomitas, magnezitas: Karbonatai (A metodas)</v>
      </c>
      <c r="H205" s="257" t="str">
        <f>IF(COUNTIF($G$175:$J$179,G205)&gt;0,MAX(H$188:H204)+1,"")</f>
        <v/>
      </c>
      <c r="I205" s="17" t="str">
        <f t="shared" si="32"/>
        <v/>
      </c>
      <c r="J205" s="257"/>
      <c r="K205" s="257"/>
      <c r="L205" s="257"/>
      <c r="M205" s="258"/>
      <c r="N205" s="7"/>
      <c r="O205" s="7"/>
      <c r="P205" s="45"/>
      <c r="Q205" s="45"/>
      <c r="R205" s="45"/>
      <c r="S205" s="45"/>
      <c r="T205" s="45"/>
      <c r="U205" s="45"/>
      <c r="V205" s="45"/>
      <c r="W205" s="45"/>
      <c r="X205" s="45"/>
      <c r="Y205" s="45"/>
      <c r="Z205" s="45"/>
      <c r="AA205" s="45"/>
      <c r="AB205" s="45"/>
    </row>
    <row r="206" spans="1:28" s="59" customFormat="1" ht="12.75" hidden="1" customHeight="1">
      <c r="A206" s="47" t="s">
        <v>87</v>
      </c>
      <c r="B206" s="250"/>
      <c r="C206" s="722"/>
      <c r="D206" s="251"/>
      <c r="E206" s="7"/>
      <c r="F206" s="256">
        <v>25</v>
      </c>
      <c r="G206" s="257" t="str">
        <f t="shared" si="31"/>
        <v>Kalkės, dolomitas, magnezitas: Šarminių žemių metalų oksidas (B metodas)</v>
      </c>
      <c r="H206" s="257" t="str">
        <f>IF(COUNTIF($G$175:$J$179,G206)&gt;0,MAX(H$188:H205)+1,"")</f>
        <v/>
      </c>
      <c r="I206" s="17" t="str">
        <f t="shared" si="32"/>
        <v/>
      </c>
      <c r="J206" s="257"/>
      <c r="K206" s="257"/>
      <c r="L206" s="257"/>
      <c r="M206" s="258"/>
      <c r="N206" s="7"/>
      <c r="O206" s="7"/>
      <c r="P206" s="45"/>
      <c r="Q206" s="45"/>
      <c r="R206" s="45"/>
      <c r="S206" s="45"/>
      <c r="T206" s="45"/>
      <c r="U206" s="45"/>
      <c r="V206" s="45"/>
      <c r="W206" s="45"/>
      <c r="X206" s="45"/>
      <c r="Y206" s="45"/>
      <c r="Z206" s="45"/>
      <c r="AA206" s="45"/>
      <c r="AB206" s="45"/>
    </row>
    <row r="207" spans="1:28" s="59" customFormat="1" ht="12.75" hidden="1" customHeight="1">
      <c r="A207" s="47" t="s">
        <v>87</v>
      </c>
      <c r="B207" s="250"/>
      <c r="C207" s="722"/>
      <c r="D207" s="251"/>
      <c r="E207" s="7"/>
      <c r="F207" s="256">
        <v>26</v>
      </c>
      <c r="G207" s="257" t="str">
        <f t="shared" si="31"/>
        <v>Kalkės, dolomitas, magnezitas: Degimo krosnių dulkės (B metodas)</v>
      </c>
      <c r="H207" s="257" t="str">
        <f>IF(COUNTIF($G$175:$J$179,G207)&gt;0,MAX(H$188:H206)+1,"")</f>
        <v/>
      </c>
      <c r="I207" s="17" t="str">
        <f t="shared" si="32"/>
        <v/>
      </c>
      <c r="J207" s="257"/>
      <c r="K207" s="257"/>
      <c r="L207" s="257"/>
      <c r="M207" s="258"/>
      <c r="N207" s="7"/>
      <c r="O207" s="7"/>
      <c r="P207" s="45"/>
      <c r="Q207" s="45"/>
      <c r="R207" s="45"/>
      <c r="S207" s="45"/>
      <c r="T207" s="45"/>
      <c r="U207" s="45"/>
      <c r="V207" s="45"/>
      <c r="W207" s="45"/>
      <c r="X207" s="45"/>
      <c r="Y207" s="45"/>
      <c r="Z207" s="45"/>
      <c r="AA207" s="45"/>
      <c r="AB207" s="45"/>
    </row>
    <row r="208" spans="1:28" s="59" customFormat="1" ht="12.75" hidden="1" customHeight="1">
      <c r="A208" s="47" t="s">
        <v>87</v>
      </c>
      <c r="B208" s="250"/>
      <c r="C208" s="722"/>
      <c r="D208" s="251"/>
      <c r="E208" s="7"/>
      <c r="F208" s="256">
        <v>27</v>
      </c>
      <c r="G208" s="257" t="str">
        <f t="shared" si="31"/>
        <v>Stiklas ir mineralinė vata: Karbonatai (žaliava)</v>
      </c>
      <c r="H208" s="257" t="str">
        <f>IF(COUNTIF($G$175:$J$179,G208)&gt;0,MAX(H$188:H207)+1,"")</f>
        <v/>
      </c>
      <c r="I208" s="17" t="str">
        <f t="shared" si="32"/>
        <v/>
      </c>
      <c r="J208" s="257"/>
      <c r="K208" s="257"/>
      <c r="L208" s="257"/>
      <c r="M208" s="258"/>
      <c r="N208" s="7"/>
      <c r="O208" s="7"/>
      <c r="P208" s="45"/>
      <c r="Q208" s="45"/>
      <c r="R208" s="45"/>
      <c r="S208" s="45"/>
      <c r="T208" s="45"/>
      <c r="U208" s="45"/>
      <c r="V208" s="45"/>
      <c r="W208" s="45"/>
      <c r="X208" s="45"/>
      <c r="Y208" s="45"/>
      <c r="Z208" s="45"/>
      <c r="AA208" s="45"/>
      <c r="AB208" s="45"/>
    </row>
    <row r="209" spans="1:28" s="59" customFormat="1" ht="12.75" hidden="1" customHeight="1">
      <c r="A209" s="47" t="s">
        <v>87</v>
      </c>
      <c r="B209" s="250"/>
      <c r="C209" s="722"/>
      <c r="D209" s="251"/>
      <c r="E209" s="7"/>
      <c r="F209" s="256">
        <v>28</v>
      </c>
      <c r="G209" s="257" t="str">
        <f t="shared" si="31"/>
        <v>Keramikos dirbiniai.: Anglies sąnaudos (A metodas)</v>
      </c>
      <c r="H209" s="257" t="str">
        <f>IF(COUNTIF($G$175:$J$179,G209)&gt;0,MAX(H$188:H208)+1,"")</f>
        <v/>
      </c>
      <c r="I209" s="17" t="str">
        <f t="shared" si="32"/>
        <v/>
      </c>
      <c r="J209" s="257"/>
      <c r="K209" s="257"/>
      <c r="L209" s="257"/>
      <c r="M209" s="258"/>
      <c r="N209" s="7"/>
      <c r="O209" s="7"/>
      <c r="P209" s="45"/>
      <c r="Q209" s="45"/>
      <c r="R209" s="45"/>
      <c r="S209" s="45"/>
      <c r="T209" s="45"/>
      <c r="U209" s="45"/>
      <c r="V209" s="45"/>
      <c r="W209" s="45"/>
      <c r="X209" s="45"/>
      <c r="Y209" s="45"/>
      <c r="Z209" s="45"/>
      <c r="AA209" s="45"/>
      <c r="AB209" s="45"/>
    </row>
    <row r="210" spans="1:28" s="59" customFormat="1" ht="12.75" hidden="1" customHeight="1">
      <c r="A210" s="47" t="s">
        <v>87</v>
      </c>
      <c r="B210" s="250"/>
      <c r="C210" s="722"/>
      <c r="D210" s="251"/>
      <c r="E210" s="7"/>
      <c r="F210" s="256">
        <v>29</v>
      </c>
      <c r="G210" s="257" t="str">
        <f t="shared" si="31"/>
        <v>Keramikos dirbiniai.: Šarminių metalų oksidas (B metodas)</v>
      </c>
      <c r="H210" s="257" t="str">
        <f>IF(COUNTIF($G$175:$J$179,G210)&gt;0,MAX(H$188:H209)+1,"")</f>
        <v/>
      </c>
      <c r="I210" s="17" t="str">
        <f t="shared" si="32"/>
        <v/>
      </c>
      <c r="J210" s="257"/>
      <c r="K210" s="257"/>
      <c r="L210" s="257"/>
      <c r="M210" s="258"/>
      <c r="N210" s="7"/>
      <c r="O210" s="7"/>
      <c r="P210" s="45"/>
      <c r="Q210" s="45"/>
      <c r="R210" s="45"/>
      <c r="S210" s="45"/>
      <c r="T210" s="45"/>
      <c r="U210" s="45"/>
      <c r="V210" s="45"/>
      <c r="W210" s="45"/>
      <c r="X210" s="45"/>
      <c r="Y210" s="45"/>
      <c r="Z210" s="45"/>
      <c r="AA210" s="45"/>
      <c r="AB210" s="45"/>
    </row>
    <row r="211" spans="1:28" s="59" customFormat="1" ht="12.75" hidden="1" customHeight="1">
      <c r="A211" s="47" t="s">
        <v>87</v>
      </c>
      <c r="B211" s="250"/>
      <c r="C211" s="722"/>
      <c r="D211" s="251"/>
      <c r="E211" s="7"/>
      <c r="F211" s="256">
        <v>30</v>
      </c>
      <c r="G211" s="257" t="str">
        <f t="shared" si="31"/>
        <v>Keramikos dirbiniai.: Dujų plovimas</v>
      </c>
      <c r="H211" s="257" t="str">
        <f>IF(COUNTIF($G$175:$J$179,G211)&gt;0,MAX(H$188:H210)+1,"")</f>
        <v/>
      </c>
      <c r="I211" s="17" t="str">
        <f t="shared" si="32"/>
        <v/>
      </c>
      <c r="J211" s="257"/>
      <c r="K211" s="257"/>
      <c r="L211" s="257"/>
      <c r="M211" s="258"/>
      <c r="N211" s="7"/>
      <c r="O211" s="7"/>
      <c r="P211" s="45"/>
      <c r="Q211" s="45"/>
      <c r="R211" s="45"/>
      <c r="S211" s="45"/>
      <c r="T211" s="45"/>
      <c r="U211" s="45"/>
      <c r="V211" s="45"/>
      <c r="W211" s="45"/>
      <c r="X211" s="45"/>
      <c r="Y211" s="45"/>
      <c r="Z211" s="45"/>
      <c r="AA211" s="45"/>
      <c r="AB211" s="45"/>
    </row>
    <row r="212" spans="1:28" s="59" customFormat="1" ht="12.75" hidden="1" customHeight="1">
      <c r="A212" s="47" t="s">
        <v>87</v>
      </c>
      <c r="B212" s="250"/>
      <c r="C212" s="722"/>
      <c r="D212" s="251"/>
      <c r="E212" s="7"/>
      <c r="F212" s="256">
        <v>31</v>
      </c>
      <c r="G212" s="257" t="str">
        <f t="shared" si="31"/>
        <v>Celiuliozė ir popierius: Sudėtinės cheminės medžiagos</v>
      </c>
      <c r="H212" s="257" t="str">
        <f>IF(COUNTIF($G$175:$J$179,G212)&gt;0,MAX(H$188:H211)+1,"")</f>
        <v/>
      </c>
      <c r="I212" s="17" t="str">
        <f t="shared" si="32"/>
        <v/>
      </c>
      <c r="J212" s="257"/>
      <c r="K212" s="257"/>
      <c r="L212" s="257"/>
      <c r="M212" s="258"/>
      <c r="N212" s="7"/>
      <c r="O212" s="7"/>
      <c r="P212" s="45"/>
      <c r="Q212" s="45"/>
      <c r="R212" s="45"/>
      <c r="S212" s="45"/>
      <c r="T212" s="45"/>
      <c r="U212" s="45"/>
      <c r="V212" s="45"/>
      <c r="W212" s="45"/>
      <c r="X212" s="45"/>
      <c r="Y212" s="45"/>
      <c r="Z212" s="45"/>
      <c r="AA212" s="45"/>
      <c r="AB212" s="45"/>
    </row>
    <row r="213" spans="1:28" s="59" customFormat="1" ht="12.75" hidden="1" customHeight="1">
      <c r="A213" s="47" t="s">
        <v>87</v>
      </c>
      <c r="B213" s="250"/>
      <c r="C213" s="722"/>
      <c r="D213" s="251"/>
      <c r="E213" s="7"/>
      <c r="F213" s="256">
        <v>32</v>
      </c>
      <c r="G213" s="257" t="str">
        <f t="shared" si="31"/>
        <v>Padengtas kartonas Suodžiai: Masės balanso metodika</v>
      </c>
      <c r="H213" s="257" t="str">
        <f>IF(COUNTIF($G$175:$J$179,G213)&gt;0,MAX(H$188:H212)+1,"")</f>
        <v/>
      </c>
      <c r="I213" s="17" t="str">
        <f t="shared" si="32"/>
        <v/>
      </c>
      <c r="J213" s="257"/>
      <c r="K213" s="257"/>
      <c r="L213" s="257"/>
      <c r="M213" s="258"/>
      <c r="N213" s="7"/>
      <c r="O213" s="7"/>
      <c r="P213" s="45"/>
      <c r="Q213" s="45"/>
      <c r="R213" s="45"/>
      <c r="S213" s="45"/>
      <c r="T213" s="45"/>
      <c r="U213" s="45"/>
      <c r="V213" s="45"/>
      <c r="W213" s="45"/>
      <c r="X213" s="45"/>
      <c r="Y213" s="45"/>
      <c r="Z213" s="45"/>
      <c r="AA213" s="45"/>
      <c r="AB213" s="45"/>
    </row>
    <row r="214" spans="1:28" s="59" customFormat="1" ht="12.75" hidden="1" customHeight="1">
      <c r="A214" s="47" t="s">
        <v>87</v>
      </c>
      <c r="B214" s="250"/>
      <c r="C214" s="722"/>
      <c r="D214" s="251"/>
      <c r="E214" s="7"/>
      <c r="F214" s="256">
        <v>33</v>
      </c>
      <c r="G214" s="257" t="str">
        <f t="shared" si="31"/>
        <v>Amoniakas: Kuras kaip proceso žaliava</v>
      </c>
      <c r="H214" s="257" t="str">
        <f>IF(COUNTIF($G$175:$J$179,G214)&gt;0,MAX(H$188:H213)+1,"")</f>
        <v/>
      </c>
      <c r="I214" s="17" t="str">
        <f t="shared" si="32"/>
        <v/>
      </c>
      <c r="J214" s="257"/>
      <c r="K214" s="257"/>
      <c r="L214" s="257"/>
      <c r="M214" s="258"/>
      <c r="N214" s="7"/>
      <c r="O214" s="7"/>
      <c r="P214" s="45"/>
      <c r="Q214" s="45"/>
      <c r="R214" s="45"/>
      <c r="S214" s="45"/>
      <c r="T214" s="45"/>
      <c r="U214" s="45"/>
      <c r="V214" s="45"/>
      <c r="W214" s="45"/>
      <c r="X214" s="45"/>
      <c r="Y214" s="45"/>
      <c r="Z214" s="45"/>
      <c r="AA214" s="45"/>
      <c r="AB214" s="45"/>
    </row>
    <row r="215" spans="1:28" s="59" customFormat="1" ht="12.75" hidden="1" customHeight="1">
      <c r="A215" s="47" t="s">
        <v>87</v>
      </c>
      <c r="B215" s="250"/>
      <c r="C215" s="722"/>
      <c r="D215" s="251"/>
      <c r="E215" s="7"/>
      <c r="F215" s="256">
        <v>34</v>
      </c>
      <c r="G215" s="257" t="str">
        <f t="shared" si="31"/>
        <v>Vandenilis ir sintezės dujos: Kuras kaip proceso žaliava</v>
      </c>
      <c r="H215" s="257" t="str">
        <f>IF(COUNTIF($G$175:$J$179,G215)&gt;0,MAX(H$188:H214)+1,"")</f>
        <v/>
      </c>
      <c r="I215" s="17" t="str">
        <f t="shared" si="32"/>
        <v/>
      </c>
      <c r="J215" s="257"/>
      <c r="K215" s="257"/>
      <c r="L215" s="257"/>
      <c r="M215" s="258"/>
      <c r="N215" s="7"/>
      <c r="O215" s="7"/>
      <c r="P215" s="45"/>
      <c r="Q215" s="45"/>
      <c r="R215" s="45"/>
      <c r="S215" s="45"/>
      <c r="T215" s="45"/>
      <c r="U215" s="45"/>
      <c r="V215" s="45"/>
      <c r="W215" s="45"/>
      <c r="X215" s="45"/>
      <c r="Y215" s="45"/>
      <c r="Z215" s="45"/>
      <c r="AA215" s="45"/>
      <c r="AB215" s="45"/>
    </row>
    <row r="216" spans="1:28" s="59" customFormat="1" ht="12.75" hidden="1" customHeight="1">
      <c r="A216" s="47" t="s">
        <v>87</v>
      </c>
      <c r="B216" s="250"/>
      <c r="C216" s="722"/>
      <c r="D216" s="251"/>
      <c r="E216" s="7"/>
      <c r="F216" s="256">
        <v>35</v>
      </c>
      <c r="G216" s="257" t="str">
        <f t="shared" si="31"/>
        <v>Vandenilis ir sintezės dujos: Masės balanso metodika</v>
      </c>
      <c r="H216" s="257" t="str">
        <f>IF(COUNTIF($G$175:$J$179,G216)&gt;0,MAX(H$188:H215)+1,"")</f>
        <v/>
      </c>
      <c r="I216" s="17" t="str">
        <f t="shared" si="32"/>
        <v/>
      </c>
      <c r="J216" s="257"/>
      <c r="K216" s="257"/>
      <c r="L216" s="257"/>
      <c r="M216" s="258"/>
      <c r="N216" s="7"/>
      <c r="O216" s="7"/>
      <c r="P216" s="45"/>
      <c r="Q216" s="45"/>
      <c r="R216" s="45"/>
      <c r="S216" s="45"/>
      <c r="T216" s="45"/>
      <c r="U216" s="45"/>
      <c r="V216" s="45"/>
      <c r="W216" s="45"/>
      <c r="X216" s="45"/>
      <c r="Y216" s="45"/>
      <c r="Z216" s="45"/>
      <c r="AA216" s="45"/>
      <c r="AB216" s="45"/>
    </row>
    <row r="217" spans="1:28" s="59" customFormat="1" ht="12.75" hidden="1" customHeight="1">
      <c r="A217" s="47" t="s">
        <v>87</v>
      </c>
      <c r="B217" s="250"/>
      <c r="C217" s="722"/>
      <c r="D217" s="251"/>
      <c r="E217" s="7"/>
      <c r="F217" s="256">
        <v>36</v>
      </c>
      <c r="G217" s="257" t="str">
        <f t="shared" si="31"/>
        <v>Didelio masto organinių cheminių medžiagų gamyba: Masės balanso metodika</v>
      </c>
      <c r="H217" s="257" t="str">
        <f>IF(COUNTIF($G$175:$J$179,G217)&gt;0,MAX(H$188:H216)+1,"")</f>
        <v/>
      </c>
      <c r="I217" s="17" t="str">
        <f t="shared" si="32"/>
        <v/>
      </c>
      <c r="J217" s="257"/>
      <c r="K217" s="257"/>
      <c r="L217" s="257"/>
      <c r="M217" s="258"/>
      <c r="N217" s="7"/>
      <c r="O217" s="7"/>
      <c r="P217" s="45"/>
      <c r="Q217" s="45"/>
      <c r="R217" s="45"/>
      <c r="S217" s="45"/>
      <c r="T217" s="45"/>
      <c r="U217" s="45"/>
      <c r="V217" s="45"/>
      <c r="W217" s="45"/>
      <c r="X217" s="45"/>
      <c r="Y217" s="45"/>
      <c r="Z217" s="45"/>
      <c r="AA217" s="45"/>
      <c r="AB217" s="45"/>
    </row>
    <row r="218" spans="1:28" s="59" customFormat="1" ht="12.75" hidden="1" customHeight="1">
      <c r="A218" s="47" t="s">
        <v>87</v>
      </c>
      <c r="B218" s="250"/>
      <c r="C218" s="722"/>
      <c r="D218" s="251"/>
      <c r="E218" s="7"/>
      <c r="F218" s="256">
        <v>37</v>
      </c>
      <c r="G218" s="257" t="str">
        <f t="shared" si="31"/>
        <v>(Ne)spalvotieji, antrinis aliuminis: Proceso metu išsiskiriančios ŠESD</v>
      </c>
      <c r="H218" s="257" t="str">
        <f>IF(COUNTIF($G$175:$J$179,G218)&gt;0,MAX(H$188:H217)+1,"")</f>
        <v/>
      </c>
      <c r="I218" s="17" t="str">
        <f t="shared" si="32"/>
        <v/>
      </c>
      <c r="J218" s="257"/>
      <c r="K218" s="257"/>
      <c r="L218" s="257"/>
      <c r="M218" s="258"/>
      <c r="N218" s="7"/>
      <c r="O218" s="7"/>
      <c r="P218" s="45"/>
      <c r="Q218" s="45"/>
      <c r="R218" s="45"/>
      <c r="S218" s="45"/>
      <c r="T218" s="45"/>
      <c r="U218" s="45"/>
      <c r="V218" s="45"/>
      <c r="W218" s="45"/>
      <c r="X218" s="45"/>
      <c r="Y218" s="45"/>
      <c r="Z218" s="45"/>
      <c r="AA218" s="45"/>
      <c r="AB218" s="45"/>
    </row>
    <row r="219" spans="1:28" s="59" customFormat="1" ht="12.75" hidden="1" customHeight="1">
      <c r="A219" s="47" t="s">
        <v>87</v>
      </c>
      <c r="B219" s="250"/>
      <c r="C219" s="722"/>
      <c r="D219" s="251"/>
      <c r="E219" s="7"/>
      <c r="F219" s="256">
        <v>38</v>
      </c>
      <c r="G219" s="257" t="str">
        <f t="shared" si="31"/>
        <v>(Ne)spalvotieji, antrinis aliuminis: Masės balanso metodika</v>
      </c>
      <c r="H219" s="257" t="str">
        <f>IF(COUNTIF($G$175:$J$179,G219)&gt;0,MAX(H$188:H218)+1,"")</f>
        <v/>
      </c>
      <c r="I219" s="17" t="str">
        <f t="shared" si="32"/>
        <v/>
      </c>
      <c r="J219" s="257"/>
      <c r="K219" s="257"/>
      <c r="L219" s="257"/>
      <c r="M219" s="258"/>
      <c r="N219" s="7"/>
      <c r="O219" s="7"/>
      <c r="P219" s="45"/>
      <c r="Q219" s="45"/>
      <c r="R219" s="45"/>
      <c r="S219" s="45"/>
      <c r="T219" s="45"/>
      <c r="U219" s="45"/>
      <c r="V219" s="45"/>
      <c r="W219" s="45"/>
      <c r="X219" s="45"/>
      <c r="Y219" s="45"/>
      <c r="Z219" s="45"/>
      <c r="AA219" s="45"/>
      <c r="AB219" s="45"/>
    </row>
    <row r="220" spans="1:28" s="59" customFormat="1" ht="12.75" hidden="1" customHeight="1">
      <c r="A220" s="47" t="s">
        <v>87</v>
      </c>
      <c r="B220" s="250"/>
      <c r="C220" s="722"/>
      <c r="D220" s="251"/>
      <c r="E220" s="7"/>
      <c r="F220" s="256">
        <v>39</v>
      </c>
      <c r="G220" s="257" t="str">
        <f>INDEX(EUConst_TierActivityListNames,F220)</f>
        <v>Natrio karbonatas / natrio hidrokarbonatas: Masės balanso metodika</v>
      </c>
      <c r="H220" s="257" t="str">
        <f>IF(COUNTIF($G$175:$J$179,G220)&gt;0,MAX(H$188:H219)+1,"")</f>
        <v/>
      </c>
      <c r="I220" s="17" t="str">
        <f t="shared" si="32"/>
        <v/>
      </c>
      <c r="J220" s="257"/>
      <c r="K220" s="257"/>
      <c r="L220" s="257"/>
      <c r="M220" s="258"/>
      <c r="N220" s="7"/>
      <c r="O220" s="7"/>
      <c r="P220" s="45"/>
      <c r="Q220" s="45"/>
      <c r="R220" s="45"/>
      <c r="S220" s="45"/>
      <c r="T220" s="45"/>
      <c r="U220" s="45"/>
      <c r="V220" s="45"/>
      <c r="W220" s="45"/>
      <c r="X220" s="45"/>
      <c r="Y220" s="45"/>
      <c r="Z220" s="45"/>
      <c r="AA220" s="45"/>
      <c r="AB220" s="45"/>
    </row>
    <row r="221" spans="1:28" s="59" customFormat="1" ht="12.75" hidden="1" customHeight="1">
      <c r="A221" s="47" t="s">
        <v>87</v>
      </c>
      <c r="B221" s="250"/>
      <c r="C221" s="722"/>
      <c r="D221" s="251"/>
      <c r="E221" s="7"/>
      <c r="F221" s="256">
        <v>40</v>
      </c>
      <c r="G221" s="257" t="str">
        <f>INDEX(EUConst_TierActivityListNames,F221)</f>
        <v>Pirminis aliuminis: Masės balanso metodika</v>
      </c>
      <c r="H221" s="257" t="str">
        <f>IF(COUNTIF($G$175:$J$179,G221)&gt;0,MAX(H$188:H220)+1,"")</f>
        <v/>
      </c>
      <c r="I221" s="17" t="str">
        <f t="shared" si="32"/>
        <v/>
      </c>
      <c r="J221" s="257"/>
      <c r="K221" s="257"/>
      <c r="L221" s="257"/>
      <c r="M221" s="258"/>
      <c r="N221" s="7"/>
      <c r="O221" s="7"/>
      <c r="P221" s="45"/>
      <c r="Q221" s="45"/>
      <c r="R221" s="45"/>
      <c r="S221" s="45"/>
      <c r="T221" s="45"/>
      <c r="U221" s="45"/>
      <c r="V221" s="45"/>
      <c r="W221" s="45"/>
      <c r="X221" s="45"/>
      <c r="Y221" s="45"/>
      <c r="Z221" s="45"/>
      <c r="AA221" s="45"/>
      <c r="AB221" s="45"/>
    </row>
    <row r="222" spans="1:28" s="59" customFormat="1" ht="12.75" hidden="1" customHeight="1">
      <c r="A222" s="47" t="s">
        <v>87</v>
      </c>
      <c r="B222" s="250"/>
      <c r="C222" s="722"/>
      <c r="D222" s="251"/>
      <c r="E222" s="7"/>
      <c r="F222" s="256">
        <v>41</v>
      </c>
      <c r="G222" s="257" t="str">
        <f t="shared" si="31"/>
        <v>Pirminis aliuminis: Išmetamas PFC kiekis (nuolydžio metodas)</v>
      </c>
      <c r="H222" s="257" t="str">
        <f>IF(COUNTIF($G$175:$J$179,G222)&gt;0,MAX(H$188:H221)+1,"")</f>
        <v/>
      </c>
      <c r="I222" s="17" t="str">
        <f t="shared" si="32"/>
        <v/>
      </c>
      <c r="J222" s="257"/>
      <c r="K222" s="257"/>
      <c r="L222" s="257"/>
      <c r="M222" s="258"/>
      <c r="N222" s="7"/>
      <c r="O222" s="7"/>
      <c r="P222" s="45"/>
      <c r="Q222" s="45"/>
      <c r="R222" s="45"/>
      <c r="S222" s="45"/>
      <c r="T222" s="45"/>
      <c r="U222" s="45"/>
      <c r="V222" s="45"/>
      <c r="W222" s="45"/>
      <c r="X222" s="45"/>
      <c r="Y222" s="45"/>
      <c r="Z222" s="45"/>
      <c r="AA222" s="45"/>
      <c r="AB222" s="45"/>
    </row>
    <row r="223" spans="1:28" s="59" customFormat="1" ht="12.75" hidden="1" customHeight="1" thickBot="1">
      <c r="A223" s="47" t="s">
        <v>87</v>
      </c>
      <c r="B223" s="250"/>
      <c r="C223" s="722"/>
      <c r="D223" s="251"/>
      <c r="E223" s="7"/>
      <c r="F223" s="259">
        <v>42</v>
      </c>
      <c r="G223" s="260" t="str">
        <f t="shared" si="31"/>
        <v>Pirminis aliuminis: Išmetamas PFC kiekis (viršįtampio metodas)</v>
      </c>
      <c r="H223" s="260" t="str">
        <f>IF(COUNTIF($G$175:$J$179,G223)&gt;0,MAX(H$188:H222)+1,"")</f>
        <v/>
      </c>
      <c r="I223" s="18" t="str">
        <f t="shared" si="32"/>
        <v/>
      </c>
      <c r="J223" s="260"/>
      <c r="K223" s="260"/>
      <c r="L223" s="260"/>
      <c r="M223" s="261"/>
      <c r="N223" s="7"/>
      <c r="O223" s="7"/>
      <c r="P223" s="45"/>
      <c r="Q223" s="45"/>
      <c r="R223" s="45"/>
      <c r="S223" s="45"/>
      <c r="T223" s="45"/>
      <c r="U223" s="45"/>
      <c r="V223" s="45"/>
      <c r="W223" s="45"/>
      <c r="X223" s="45"/>
      <c r="Y223" s="45"/>
      <c r="Z223" s="45"/>
      <c r="AA223" s="45"/>
      <c r="AB223" s="45"/>
    </row>
    <row r="224" spans="1:28" s="59" customFormat="1" ht="12.75" hidden="1" customHeight="1">
      <c r="A224" s="47" t="s">
        <v>87</v>
      </c>
      <c r="B224" s="250"/>
      <c r="C224" s="722"/>
      <c r="D224" s="251"/>
      <c r="E224" s="250"/>
      <c r="F224" s="250"/>
      <c r="G224" s="250"/>
      <c r="H224" s="250"/>
      <c r="I224" s="250"/>
      <c r="J224" s="250"/>
      <c r="K224" s="250"/>
      <c r="L224" s="250"/>
      <c r="M224" s="250"/>
      <c r="N224" s="250"/>
      <c r="O224" s="267"/>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disablePrompts="1"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sheetPr codeName="Tabelle7">
    <tabColor indexed="11"/>
    <pageSetUpPr fitToPage="1"/>
  </sheetPr>
  <dimension ref="A1:CB2201"/>
  <sheetViews>
    <sheetView tabSelected="1" topLeftCell="B1" zoomScale="85" zoomScaleNormal="85" zoomScaleSheetLayoutView="85" workbookViewId="0">
      <pane ySplit="4" topLeftCell="A61" activePane="bottomLeft" state="frozen"/>
      <selection activeCell="B2" sqref="B2"/>
      <selection pane="bottomLeft" activeCell="M2201" sqref="M2201"/>
    </sheetView>
  </sheetViews>
  <sheetFormatPr defaultColWidth="11.42578125" defaultRowHeight="12.75"/>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c r="A2" s="807"/>
      <c r="B2" s="1404" t="str">
        <f>Translations!$B$618</f>
        <v>C.
Source streams (Sukėlikliai)</v>
      </c>
      <c r="C2" s="1574"/>
      <c r="D2" s="1575"/>
      <c r="E2" s="1386" t="str">
        <f>Translations!$B$23</f>
        <v>Naršymo laukas</v>
      </c>
      <c r="F2" s="1364"/>
      <c r="G2" s="1366" t="str">
        <f>Translations!$B$24</f>
        <v>Turinys</v>
      </c>
      <c r="H2" s="1367"/>
      <c r="I2" s="1366" t="str">
        <f>Translations!$B$25</f>
        <v>Ankstesnis lapas</v>
      </c>
      <c r="J2" s="1367"/>
      <c r="K2" s="1366" t="str">
        <f>Translations!$B$26</f>
        <v>Kitas lapas</v>
      </c>
      <c r="L2" s="1367"/>
      <c r="M2" s="1366"/>
      <c r="N2" s="1367"/>
      <c r="O2" s="732"/>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c r="A3" s="807"/>
      <c r="B3" s="1576"/>
      <c r="C3" s="1577"/>
      <c r="D3" s="1578"/>
      <c r="E3" s="1359" t="str">
        <f>Translations!$B$27</f>
        <v>Lapo viršus</v>
      </c>
      <c r="F3" s="1359"/>
      <c r="G3" s="1359"/>
      <c r="H3" s="1359"/>
      <c r="I3" s="1359"/>
      <c r="J3" s="1359"/>
      <c r="K3" s="1359"/>
      <c r="L3" s="1359"/>
      <c r="M3" s="1359"/>
      <c r="N3" s="1359"/>
      <c r="O3" s="732"/>
      <c r="P3" s="15"/>
      <c r="Q3" s="15"/>
      <c r="R3" s="15"/>
      <c r="S3" s="56"/>
      <c r="T3" s="56"/>
      <c r="U3" s="1156" t="s">
        <v>601</v>
      </c>
      <c r="V3" s="869" t="str">
        <f>ADDRESS(ROW($B$5),COLUMN($B$5)) &amp; ":" &amp; ADDRESS(IF(CNTR_CalcRelevant=EUconst_NotRelevant,ROW(P62),MATCH("PRINT",$P:$P,0))+ROW($P$87)-ROW($P$62),COLUMN($O$5))</f>
        <v>$B$5:$O$141</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c r="A4" s="807"/>
      <c r="B4" s="1579"/>
      <c r="C4" s="1580"/>
      <c r="D4" s="1581"/>
      <c r="E4" s="1569" t="str">
        <f>Translations!$B$28</f>
        <v>Lapo galas</v>
      </c>
      <c r="F4" s="1362"/>
      <c r="G4" s="1570"/>
      <c r="H4" s="1362"/>
      <c r="I4" s="1359"/>
      <c r="J4" s="1359"/>
      <c r="K4" s="1359"/>
      <c r="L4" s="1359"/>
      <c r="M4" s="1359"/>
      <c r="N4" s="1359"/>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c r="A5" s="781"/>
      <c r="B5" s="5"/>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c r="A6" s="808"/>
      <c r="B6" s="166"/>
      <c r="C6" s="1398" t="str">
        <f>Translations!$B$498</f>
        <v>C. Sukėlikliai</v>
      </c>
      <c r="D6" s="1398"/>
      <c r="E6" s="1398"/>
      <c r="F6" s="1398"/>
      <c r="G6" s="1398"/>
      <c r="H6" s="1398"/>
      <c r="I6" s="1398"/>
      <c r="J6" s="1398"/>
      <c r="K6" s="1398"/>
      <c r="L6" s="1571" t="str">
        <f>IF(CNTR_InstHasCalculation=TRUE,EUconst_Relevant,IF(COUNTA(CNTR_ListRelevantSections)&gt;0,EUconst_NotRelevant,EUconst_Relevant))</f>
        <v>svarbu</v>
      </c>
      <c r="M6" s="1572"/>
      <c r="N6" s="1573"/>
      <c r="O6" s="733"/>
      <c r="P6" s="15"/>
      <c r="Q6" s="15"/>
      <c r="R6" s="15"/>
      <c r="S6" s="412"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c r="A7" s="781"/>
      <c r="B7" s="5"/>
      <c r="C7" s="166"/>
      <c r="D7" s="6"/>
      <c r="E7" s="166"/>
      <c r="F7" s="5"/>
      <c r="G7" s="5"/>
      <c r="H7" s="5"/>
      <c r="I7" s="5"/>
      <c r="J7" s="5"/>
      <c r="K7" s="5"/>
      <c r="L7" s="5"/>
      <c r="M7" s="344"/>
      <c r="N7" s="344"/>
      <c r="O7" s="732"/>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c r="A8" s="781"/>
      <c r="B8" s="206"/>
      <c r="C8" s="166"/>
      <c r="D8" s="206"/>
      <c r="E8" s="166"/>
      <c r="F8" s="206"/>
      <c r="G8" s="206"/>
      <c r="H8" s="206"/>
      <c r="I8" s="206"/>
      <c r="J8" s="206"/>
      <c r="K8" s="1507" t="str">
        <f>IF(L6=EUconst_NotRelevant,HYPERLINK("#JUMP_F_Top",EUconst_MsgNextSheet),HYPERLINK("",EUconst_MsgEnterThisSection))</f>
        <v>Įvesti duomenis į šį skirsnį</v>
      </c>
      <c r="L8" s="1507"/>
      <c r="M8" s="1507"/>
      <c r="N8" s="1507"/>
      <c r="O8" s="734"/>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c r="A9" s="781"/>
      <c r="B9" s="5"/>
      <c r="C9" s="166"/>
      <c r="D9" s="6"/>
      <c r="E9" s="166"/>
      <c r="F9" s="5"/>
      <c r="G9" s="5"/>
      <c r="H9" s="5"/>
      <c r="I9" s="5"/>
      <c r="J9" s="5"/>
      <c r="K9" s="5"/>
      <c r="L9" s="5"/>
      <c r="M9" s="344"/>
      <c r="N9" s="344"/>
      <c r="O9" s="732"/>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c r="A10" s="808"/>
      <c r="B10" s="247"/>
      <c r="C10" s="717">
        <v>8</v>
      </c>
      <c r="D10" s="35" t="str">
        <f>Translations!$B$619</f>
        <v>Pagal sukėliklius išmetamas ŠESD kiekis</v>
      </c>
      <c r="E10" s="35"/>
      <c r="F10" s="35"/>
      <c r="G10" s="35"/>
      <c r="H10" s="35"/>
      <c r="I10" s="35"/>
      <c r="J10" s="35"/>
      <c r="K10" s="35"/>
      <c r="L10" s="35"/>
      <c r="M10" s="35"/>
      <c r="N10" s="35"/>
      <c r="O10" s="735"/>
      <c r="P10" s="392"/>
      <c r="Q10" s="392"/>
      <c r="R10" s="392"/>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c r="A11" s="781"/>
      <c r="D11" s="9"/>
      <c r="E11" s="496"/>
      <c r="G11" s="11"/>
      <c r="H11" s="11"/>
      <c r="I11" s="11"/>
      <c r="J11" s="11"/>
      <c r="L11" s="11"/>
      <c r="M11" s="11"/>
      <c r="N11" s="11"/>
      <c r="O11" s="736"/>
      <c r="P11" s="392"/>
      <c r="Q11" s="392"/>
      <c r="R11" s="392"/>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c r="A12" s="781"/>
      <c r="D12" s="9"/>
      <c r="E12" s="1551" t="str">
        <f>Translations!$B$620</f>
        <v>Svarbu! Nuoseklumo sumetimais sukėliklius įveskite tokia pat eilės tvarka, kaip pateikta 7 dalies b punkte ir Jūsų naujausiame patvirtintame stebėsenos plane (tokia pat eilės tvarka ir naudodami tokius pat identifikatorius).</v>
      </c>
      <c r="F12" s="1551"/>
      <c r="G12" s="1551"/>
      <c r="H12" s="1551"/>
      <c r="I12" s="1551"/>
      <c r="J12" s="1551"/>
      <c r="K12" s="1551"/>
      <c r="L12" s="1551"/>
      <c r="M12" s="1551"/>
      <c r="N12" s="1551"/>
      <c r="O12" s="1104"/>
      <c r="P12" s="392"/>
      <c r="Q12" s="392"/>
      <c r="R12" s="392"/>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c r="A13" s="781"/>
      <c r="D13" s="9"/>
      <c r="E13" s="496"/>
      <c r="G13" s="11"/>
      <c r="H13" s="11"/>
      <c r="I13" s="11"/>
      <c r="J13" s="11"/>
      <c r="L13" s="11"/>
      <c r="M13" s="11"/>
      <c r="N13" s="11"/>
      <c r="O13" s="736"/>
      <c r="P13" s="392"/>
      <c r="Q13" s="392"/>
      <c r="R13" s="392"/>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1" customFormat="1" ht="15" customHeight="1">
      <c r="A14" s="809"/>
      <c r="C14" s="142"/>
      <c r="D14" s="810"/>
      <c r="E14" s="1568" t="str">
        <f>Translations!$B$621</f>
        <v>Santrumpos:</v>
      </c>
      <c r="F14" s="1568"/>
      <c r="G14" s="1568"/>
      <c r="H14" s="1568"/>
      <c r="I14" s="1568"/>
      <c r="J14" s="1568"/>
      <c r="K14" s="1568"/>
      <c r="L14" s="1568"/>
      <c r="M14" s="1568"/>
      <c r="N14" s="1568"/>
      <c r="O14" s="737"/>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c r="A15" s="781"/>
      <c r="B15" s="206"/>
      <c r="C15" s="166"/>
      <c r="D15" s="206"/>
      <c r="E15" s="238" t="str">
        <f>Translations!$B$622</f>
        <v>VD:</v>
      </c>
      <c r="F15" s="1554"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4"/>
      <c r="H15" s="1554"/>
      <c r="I15" s="1554"/>
      <c r="J15" s="1554"/>
      <c r="K15" s="1554"/>
      <c r="L15" s="1554"/>
      <c r="M15" s="1554"/>
      <c r="N15" s="1554"/>
      <c r="O15" s="738"/>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c r="A16" s="781"/>
      <c r="B16" s="206"/>
      <c r="C16" s="166"/>
      <c r="D16" s="206"/>
      <c r="E16" s="240"/>
      <c r="F16" s="1494" t="str">
        <f>Translations!$B$624</f>
        <v>Jeigu sukėlikliui taikoma masės balanso metodika, veiklos duomenys pagal kiekvieną pagaminamą medžiagą turėtų būti įvedami kaip neigiamas skaičius, pvz., „-10 000“.</v>
      </c>
      <c r="G16" s="1494"/>
      <c r="H16" s="1494"/>
      <c r="I16" s="1494"/>
      <c r="J16" s="1494"/>
      <c r="K16" s="1494"/>
      <c r="L16" s="1494"/>
      <c r="M16" s="1494"/>
      <c r="N16" s="1494"/>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c r="A17" s="781"/>
      <c r="B17" s="206"/>
      <c r="C17" s="166"/>
      <c r="D17" s="206"/>
      <c r="E17" s="240"/>
      <c r="F17" s="1494" t="str">
        <f>Translations!$B$625</f>
        <v>Jeigu veiklos duomenys gaunami sudedant atskirai išmatuotus kiekius, nustatytus atsižvelgiant į atitinkamus atsargų pokyčius (27 straipsnio 1 dalies b punktas), toliau i punkte pasirinkite „TAIP“). Tokiu atveju svarbūs šie parametrai:</v>
      </c>
      <c r="G17" s="1494"/>
      <c r="H17" s="1494"/>
      <c r="I17" s="1494"/>
      <c r="J17" s="1494"/>
      <c r="K17" s="1494"/>
      <c r="L17" s="1494"/>
      <c r="M17" s="1494"/>
      <c r="N17" s="1494"/>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c r="A18" s="781"/>
      <c r="B18" s="206"/>
      <c r="C18" s="166"/>
      <c r="D18" s="206"/>
      <c r="E18" s="240"/>
      <c r="F18" s="1178" t="str">
        <f>Translations!$B$626</f>
        <v>Pradinis kiekis</v>
      </c>
      <c r="G18" s="1494" t="str">
        <f>Translations!$B$627</f>
        <v>Kuro arba medžiagos atsargų kiekis ataskaitinio laikotarpio pradžioje.</v>
      </c>
      <c r="H18" s="1494"/>
      <c r="I18" s="1494"/>
      <c r="J18" s="1494"/>
      <c r="K18" s="1494"/>
      <c r="L18" s="1494"/>
      <c r="M18" s="1494"/>
      <c r="N18" s="1494"/>
      <c r="O18" s="738"/>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c r="A19" s="781"/>
      <c r="B19" s="206"/>
      <c r="C19" s="166"/>
      <c r="D19" s="206"/>
      <c r="E19" s="240"/>
      <c r="F19" s="1178" t="str">
        <f>Translations!$B$628</f>
        <v>Galutinis kiekis</v>
      </c>
      <c r="G19" s="1494" t="str">
        <f>Translations!$B$629</f>
        <v>Kuro arba medžiagos atsargų kiekis ataskaitinio laikotarpio pabaigoje.</v>
      </c>
      <c r="H19" s="1494"/>
      <c r="I19" s="1494"/>
      <c r="J19" s="1494"/>
      <c r="K19" s="1494"/>
      <c r="L19" s="1494"/>
      <c r="M19" s="1494"/>
      <c r="N19" s="1494"/>
      <c r="O19" s="738"/>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c r="A20" s="781"/>
      <c r="B20" s="206"/>
      <c r="C20" s="166"/>
      <c r="D20" s="206"/>
      <c r="E20" s="240"/>
      <c r="F20" s="1178" t="str">
        <f>Translations!$B$630</f>
        <v>Įsigytas kiekis</v>
      </c>
      <c r="G20" s="1494" t="str">
        <f>Translations!$B$631</f>
        <v>Per ataskaitinį laikotarpį įsigytas kuro arba medžiagos kiekis.</v>
      </c>
      <c r="H20" s="1494"/>
      <c r="I20" s="1494"/>
      <c r="J20" s="1494"/>
      <c r="K20" s="1494"/>
      <c r="L20" s="1494"/>
      <c r="M20" s="1494"/>
      <c r="N20" s="1494"/>
      <c r="O20" s="738"/>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c r="A21" s="781"/>
      <c r="B21" s="206"/>
      <c r="C21" s="166"/>
      <c r="D21" s="206"/>
      <c r="E21" s="240"/>
      <c r="F21" s="1178" t="str">
        <f>Translations!$B$632</f>
        <v>Perduotas kiekis</v>
      </c>
      <c r="G21" s="1494" t="str">
        <f>Translations!$B$633</f>
        <v>Iš įrenginio perduotas kuro arba medžiagos kiekis.</v>
      </c>
      <c r="H21" s="1494"/>
      <c r="I21" s="1494"/>
      <c r="J21" s="1494"/>
      <c r="K21" s="1494"/>
      <c r="L21" s="1494"/>
      <c r="M21" s="1494"/>
      <c r="N21" s="1494"/>
      <c r="O21" s="738"/>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c r="A22" s="781"/>
      <c r="B22" s="206"/>
      <c r="C22" s="166"/>
      <c r="D22" s="206"/>
      <c r="E22" s="237" t="str">
        <f>Translations!$B$634</f>
        <v>(prelim.) ITF:</v>
      </c>
      <c r="F22" s="156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7"/>
      <c r="H22" s="1567"/>
      <c r="I22" s="1567"/>
      <c r="J22" s="1567"/>
      <c r="K22" s="1567"/>
      <c r="L22" s="1567"/>
      <c r="M22" s="1567"/>
      <c r="N22" s="1567"/>
      <c r="O22" s="738"/>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c r="A23" s="811"/>
      <c r="B23" s="5"/>
      <c r="C23" s="166"/>
      <c r="D23" s="5"/>
      <c r="E23" s="238" t="str">
        <f>Translations!$B$636</f>
        <v>GŠV:</v>
      </c>
      <c r="F23" s="1554" t="str">
        <f>Translations!$B$637</f>
        <v>Grynojo šilumingumo vertė yra tam tikras kaip šiluma išskirtos energijos kiekis, kai kuras ar medžiaga visiškai sudega reaguodami su deguonimi įprastomis sąlygomis, atėmus bet kokio susidariusio vandens garavimo šilumą.</v>
      </c>
      <c r="G23" s="1554"/>
      <c r="H23" s="1554"/>
      <c r="I23" s="1554"/>
      <c r="J23" s="1554"/>
      <c r="K23" s="1554"/>
      <c r="L23" s="1554"/>
      <c r="M23" s="1554"/>
      <c r="N23" s="1554"/>
      <c r="O23" s="739"/>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c r="A24" s="781"/>
      <c r="B24" s="206"/>
      <c r="C24" s="166"/>
      <c r="D24" s="206"/>
      <c r="E24" s="237" t="str">
        <f>Translations!$B$638</f>
        <v>OksK:</v>
      </c>
      <c r="F24" s="1567" t="str">
        <f>Translations!$B$153</f>
        <v>Oksidacijos faktorius</v>
      </c>
      <c r="G24" s="1567"/>
      <c r="H24" s="1567"/>
      <c r="I24" s="1567"/>
      <c r="J24" s="1567"/>
      <c r="K24" s="1567"/>
      <c r="L24" s="1567"/>
      <c r="M24" s="1567"/>
      <c r="N24" s="1567"/>
      <c r="O24" s="738"/>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c r="A25" s="781"/>
      <c r="B25" s="206"/>
      <c r="C25" s="166"/>
      <c r="D25" s="206"/>
      <c r="E25" s="237" t="str">
        <f>Translations!$B$639</f>
        <v>KonvK:</v>
      </c>
      <c r="F25" s="1567" t="str">
        <f>Translations!$B$154</f>
        <v>Perskaičiavimo koeficientas</v>
      </c>
      <c r="G25" s="1567"/>
      <c r="H25" s="1567"/>
      <c r="I25" s="1567"/>
      <c r="J25" s="1567"/>
      <c r="K25" s="1567"/>
      <c r="L25" s="1567"/>
      <c r="M25" s="1567"/>
      <c r="N25" s="1567"/>
      <c r="O25" s="738"/>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1" customFormat="1" ht="12.75" customHeight="1">
      <c r="A26" s="809"/>
      <c r="B26" s="5"/>
      <c r="C26" s="166"/>
      <c r="D26" s="31"/>
      <c r="E26" s="237" t="str">
        <f>Translations!$B$640</f>
        <v>AnglK:</v>
      </c>
      <c r="F26" s="1554" t="str">
        <f>Translations!$B$155</f>
        <v>Anglies kiekis</v>
      </c>
      <c r="G26" s="1554"/>
      <c r="H26" s="1554"/>
      <c r="I26" s="1554"/>
      <c r="J26" s="1554"/>
      <c r="K26" s="1554"/>
      <c r="L26" s="1554"/>
      <c r="M26" s="1554"/>
      <c r="N26" s="1554"/>
      <c r="O26" s="732"/>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1" customFormat="1" ht="12.75" customHeight="1">
      <c r="A27" s="809"/>
      <c r="C27" s="142"/>
      <c r="D27" s="9"/>
      <c r="E27" s="240" t="str">
        <f>Translations!$B$641</f>
        <v>BioC:</v>
      </c>
      <c r="F27" s="1554" t="str">
        <f>Translations!$B$642</f>
        <v>Biomasės dalis – trupmena išreikštas iš biomasės susidariusios anglies kiekio ir kuro arba medžiagos viso anglies kiekio santykis.</v>
      </c>
      <c r="G27" s="1554"/>
      <c r="H27" s="1554"/>
      <c r="I27" s="1554"/>
      <c r="J27" s="1554"/>
      <c r="K27" s="1554"/>
      <c r="L27" s="1554"/>
      <c r="M27" s="1554"/>
      <c r="N27" s="1554"/>
      <c r="O27" s="737"/>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1" customFormat="1" ht="12.75" customHeight="1">
      <c r="A28" s="809"/>
      <c r="C28" s="142"/>
      <c r="D28" s="9"/>
      <c r="E28" s="240"/>
      <c r="F28" s="1494" t="str">
        <f>Translations!$B$643</f>
        <v>Ši vertė turėtų būti susijusi su visa biomase, atitinkančia šias sąlygas:</v>
      </c>
      <c r="G28" s="1494"/>
      <c r="H28" s="1494"/>
      <c r="I28" s="1494"/>
      <c r="J28" s="1494"/>
      <c r="K28" s="1494"/>
      <c r="L28" s="1494"/>
      <c r="M28" s="1494"/>
      <c r="N28" s="1494"/>
      <c r="O28" s="737"/>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1" customFormat="1" ht="12.75" customHeight="1">
      <c r="A29" s="809"/>
      <c r="C29" s="142"/>
      <c r="D29" s="9"/>
      <c r="E29" s="240"/>
      <c r="F29" s="241" t="s">
        <v>261</v>
      </c>
      <c r="G29" s="1494" t="str">
        <f>Translations!$B$644</f>
        <v>jai netaikomi tvarumo kriterijai (pvz., jeigu tai kietasis kuras) ARBA</v>
      </c>
      <c r="H29" s="1494"/>
      <c r="I29" s="1494"/>
      <c r="J29" s="1494"/>
      <c r="K29" s="1494"/>
      <c r="L29" s="1494"/>
      <c r="M29" s="1494"/>
      <c r="N29" s="1494"/>
      <c r="O29" s="737"/>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1" customFormat="1" ht="12.75" customHeight="1">
      <c r="A30" s="809"/>
      <c r="C30" s="142"/>
      <c r="D30" s="9"/>
      <c r="E30" s="240"/>
      <c r="F30" s="241" t="s">
        <v>261</v>
      </c>
      <c r="G30" s="1494" t="str">
        <f>Translations!$B$645</f>
        <v>jai taikomi tvarumo kriterijai ir ji tuos kriterijus atitinka.</v>
      </c>
      <c r="H30" s="1494"/>
      <c r="I30" s="1494"/>
      <c r="J30" s="1494"/>
      <c r="K30" s="1494"/>
      <c r="L30" s="1494"/>
      <c r="M30" s="1494"/>
      <c r="N30" s="1494"/>
      <c r="O30" s="737"/>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1" customFormat="1" ht="12.75" customHeight="1">
      <c r="A31" s="809"/>
      <c r="C31" s="142"/>
      <c r="D31" s="9"/>
      <c r="E31" s="240"/>
      <c r="F31" s="1494" t="str">
        <f>Translations!$B$646</f>
        <v>Daugiau informacijos pateikta rekomendaciniame dokumente Nr. 3 „Biomasės aspektai“ (žr. toliau pateiktą nuorodą).</v>
      </c>
      <c r="G31" s="1494"/>
      <c r="H31" s="1494"/>
      <c r="I31" s="1494"/>
      <c r="J31" s="1494"/>
      <c r="K31" s="1494"/>
      <c r="L31" s="1494"/>
      <c r="M31" s="1494"/>
      <c r="N31" s="1494"/>
      <c r="O31" s="737"/>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1" customFormat="1" ht="12.75" customHeight="1">
      <c r="A32" s="809"/>
      <c r="C32" s="142"/>
      <c r="D32" s="9"/>
      <c r="E32" s="236"/>
      <c r="F32" s="1553" t="str">
        <f>Translations!$B$521</f>
        <v>http://ec.europa.eu/clima/policies/ets/monitoring/documentation_en.htm</v>
      </c>
      <c r="G32" s="1552"/>
      <c r="H32" s="1552"/>
      <c r="I32" s="1552"/>
      <c r="J32" s="1552"/>
      <c r="K32" s="1552"/>
      <c r="L32" s="1552"/>
      <c r="M32" s="1552"/>
      <c r="N32" s="1552"/>
      <c r="O32" s="737"/>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1" customFormat="1" ht="25.5" customHeight="1">
      <c r="A33" s="809"/>
      <c r="C33" s="142"/>
      <c r="D33" s="9"/>
      <c r="E33" s="240" t="str">
        <f>Translations!$B$647</f>
        <v>Netvar. BioC:</v>
      </c>
      <c r="F33" s="1554" t="str">
        <f>Translations!$B$648</f>
        <v>„Netvarios“ biomasės dalis – trupmena išreikštas iš netvarios biomasės susidariusios anglies kiekio ir kuro arba medžiagos viso anglies kiekio santykis.</v>
      </c>
      <c r="G33" s="1554"/>
      <c r="H33" s="1554"/>
      <c r="I33" s="1554"/>
      <c r="J33" s="1554"/>
      <c r="K33" s="1554"/>
      <c r="L33" s="1554"/>
      <c r="M33" s="1554"/>
      <c r="N33" s="1554"/>
      <c r="O33" s="737"/>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1" customFormat="1" ht="12.75" customHeight="1">
      <c r="A34" s="809"/>
      <c r="C34" s="142"/>
      <c r="D34" s="9"/>
      <c r="E34" s="240"/>
      <c r="F34" s="1494" t="str">
        <f>Translations!$B$649</f>
        <v>Ši vertė turėtų būti susijusi tik su tokia biomase, kuriai taikomi tvarumo kriterijai ir kuri tų kriterijų neatitinka.</v>
      </c>
      <c r="G34" s="1494"/>
      <c r="H34" s="1494"/>
      <c r="I34" s="1494"/>
      <c r="J34" s="1494"/>
      <c r="K34" s="1494"/>
      <c r="L34" s="1494"/>
      <c r="M34" s="1494"/>
      <c r="N34" s="1494"/>
      <c r="O34" s="737"/>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1" customFormat="1" ht="12.75" customHeight="1">
      <c r="A35" s="809"/>
      <c r="C35" s="142"/>
      <c r="D35" s="9"/>
      <c r="E35" s="240"/>
      <c r="F35" s="1494" t="str">
        <f>Translations!$B$646</f>
        <v>Daugiau informacijos pateikta rekomendaciniame dokumente Nr. 3 „Biomasės aspektai“ (žr. toliau pateiktą nuorodą).</v>
      </c>
      <c r="G35" s="1494"/>
      <c r="H35" s="1494"/>
      <c r="I35" s="1494"/>
      <c r="J35" s="1494"/>
      <c r="K35" s="1494"/>
      <c r="L35" s="1494"/>
      <c r="M35" s="1494"/>
      <c r="N35" s="1494"/>
      <c r="O35" s="737"/>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1" customFormat="1" ht="12.75" customHeight="1">
      <c r="A36" s="809"/>
      <c r="C36" s="142"/>
      <c r="D36" s="9"/>
      <c r="E36" s="236"/>
      <c r="F36" s="1553" t="str">
        <f>Translations!$B$521</f>
        <v>http://ec.europa.eu/clima/policies/ets/monitoring/documentation_en.htm</v>
      </c>
      <c r="G36" s="1552"/>
      <c r="H36" s="1552"/>
      <c r="I36" s="1552"/>
      <c r="J36" s="1552"/>
      <c r="K36" s="1552"/>
      <c r="L36" s="1552"/>
      <c r="M36" s="1552"/>
      <c r="N36" s="1552"/>
      <c r="O36" s="737"/>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1" customFormat="1" ht="5.0999999999999996" customHeight="1">
      <c r="A37" s="809"/>
      <c r="C37" s="142"/>
      <c r="D37" s="812"/>
      <c r="E37" s="812"/>
      <c r="F37" s="812"/>
      <c r="G37" s="812"/>
      <c r="H37" s="812"/>
      <c r="I37" s="812"/>
      <c r="J37" s="812"/>
      <c r="K37" s="812"/>
      <c r="L37" s="812"/>
      <c r="M37" s="812"/>
      <c r="N37" s="812"/>
      <c r="O37" s="737"/>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1" customFormat="1" ht="15" customHeight="1">
      <c r="A38" s="809"/>
      <c r="C38" s="142"/>
      <c r="D38" s="810"/>
      <c r="E38" s="1498" t="str">
        <f>Translations!$B$650</f>
        <v>Apskaičiavimo faktorių pakopos:</v>
      </c>
      <c r="F38" s="1498"/>
      <c r="G38" s="1498"/>
      <c r="H38" s="1498"/>
      <c r="I38" s="1498"/>
      <c r="J38" s="1498"/>
      <c r="K38" s="1498"/>
      <c r="L38" s="1498"/>
      <c r="M38" s="1498"/>
      <c r="N38" s="1498"/>
      <c r="O38" s="737"/>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1" customFormat="1" ht="5.0999999999999996" customHeight="1">
      <c r="A39" s="809"/>
      <c r="C39" s="142"/>
      <c r="D39" s="812"/>
      <c r="E39" s="812"/>
      <c r="F39" s="812"/>
      <c r="G39" s="812"/>
      <c r="H39" s="812"/>
      <c r="I39" s="812"/>
      <c r="J39" s="812"/>
      <c r="K39" s="812"/>
      <c r="L39" s="812"/>
      <c r="M39" s="812"/>
      <c r="N39" s="812"/>
      <c r="O39" s="737"/>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1" customFormat="1" ht="25.5" customHeight="1">
      <c r="A40" s="809"/>
      <c r="C40" s="142"/>
      <c r="D40" s="9"/>
      <c r="E40" s="1494" t="str">
        <f>Translations!$B$651</f>
        <v>Pagal 30 straipsnio 1 dalį apskaičiavimo faktoriai gali būti nustatomi kaip numatytosios vertės arba laboratorinės analizės būdu. Tai, kuris variantas turėtų būti taikomas, priklauso nuo taikomos pakopos.</v>
      </c>
      <c r="F40" s="1494"/>
      <c r="G40" s="1494"/>
      <c r="H40" s="1494"/>
      <c r="I40" s="1494"/>
      <c r="J40" s="1494"/>
      <c r="K40" s="1494"/>
      <c r="L40" s="1494"/>
      <c r="M40" s="1494"/>
      <c r="N40" s="1494"/>
      <c r="O40" s="73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1" customFormat="1" ht="12.75" customHeight="1">
      <c r="A41" s="809"/>
      <c r="C41" s="142"/>
      <c r="D41" s="9"/>
      <c r="E41" s="1494" t="str">
        <f>Translations!$B$652</f>
        <v>Galima rinktis iš šių pakopų kategorijų (pagal rekomendacinį dokumentą Nr. 1):</v>
      </c>
      <c r="F41" s="1494"/>
      <c r="G41" s="1494"/>
      <c r="H41" s="1494"/>
      <c r="I41" s="1494"/>
      <c r="J41" s="1494"/>
      <c r="K41" s="1494"/>
      <c r="L41" s="1494"/>
      <c r="M41" s="1494"/>
      <c r="N41" s="1494"/>
      <c r="O41" s="73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1" customFormat="1" ht="12.75" customHeight="1">
      <c r="A42" s="809"/>
      <c r="C42" s="142"/>
      <c r="D42" s="9"/>
      <c r="E42" s="1553" t="str">
        <f>Translations!$B$521</f>
        <v>http://ec.europa.eu/clima/policies/ets/monitoring/documentation_en.htm</v>
      </c>
      <c r="F42" s="1552"/>
      <c r="G42" s="1552"/>
      <c r="H42" s="1552"/>
      <c r="I42" s="1552"/>
      <c r="J42" s="1552"/>
      <c r="K42" s="1552"/>
      <c r="L42" s="1552"/>
      <c r="M42" s="1552"/>
      <c r="N42" s="1552"/>
      <c r="O42" s="73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c r="A43" s="781"/>
      <c r="B43" s="206"/>
      <c r="C43" s="166"/>
      <c r="D43" s="206"/>
      <c r="E43" s="237" t="str">
        <f>Translations!$B$653</f>
        <v>I tipas</v>
      </c>
      <c r="F43" s="156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7"/>
      <c r="H43" s="1567"/>
      <c r="I43" s="1567"/>
      <c r="J43" s="1567"/>
      <c r="K43" s="1567"/>
      <c r="L43" s="1567"/>
      <c r="M43" s="1567"/>
      <c r="N43" s="1567"/>
      <c r="O43" s="738"/>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c r="A44" s="781"/>
      <c r="B44" s="206"/>
      <c r="C44" s="166"/>
      <c r="D44" s="206"/>
      <c r="E44" s="238" t="str">
        <f>Translations!$B$654</f>
        <v>II tipas</v>
      </c>
      <c r="F44" s="1554"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4"/>
      <c r="H44" s="1554"/>
      <c r="I44" s="1554"/>
      <c r="J44" s="1554"/>
      <c r="K44" s="1554"/>
      <c r="L44" s="1554"/>
      <c r="M44" s="1554"/>
      <c r="N44" s="1554"/>
      <c r="O44" s="738"/>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c r="A45" s="781"/>
      <c r="B45" s="206"/>
      <c r="C45" s="166"/>
      <c r="D45" s="206"/>
      <c r="E45" s="240"/>
      <c r="F45" s="155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52"/>
      <c r="H45" s="1552"/>
      <c r="I45" s="1552"/>
      <c r="J45" s="1552"/>
      <c r="K45" s="1552"/>
      <c r="L45" s="1552"/>
      <c r="M45" s="1552"/>
      <c r="N45" s="1552"/>
      <c r="O45" s="738"/>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c r="A46" s="811"/>
      <c r="B46" s="5"/>
      <c r="C46" s="166"/>
      <c r="D46" s="5"/>
      <c r="E46" s="238" t="str">
        <f>Translations!$B$657</f>
        <v>Pakaitinės vertės</v>
      </c>
      <c r="F46" s="1554"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4"/>
      <c r="H46" s="1554"/>
      <c r="I46" s="1554"/>
      <c r="J46" s="1554"/>
      <c r="K46" s="1554"/>
      <c r="L46" s="1554"/>
      <c r="M46" s="1554"/>
      <c r="N46" s="1554"/>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c r="A47" s="781"/>
      <c r="B47" s="206"/>
      <c r="C47" s="166"/>
      <c r="D47" s="206"/>
      <c r="E47" s="240"/>
      <c r="F47" s="241" t="s">
        <v>261</v>
      </c>
      <c r="G47" s="1494" t="str">
        <f>Translations!$B$145</f>
        <v>konkrečių naftos ar dujų rūšių, įskaitant įprastas naftos perdirbimo arba plieno pramonėje, tankio matavimu; arba</v>
      </c>
      <c r="H47" s="1494"/>
      <c r="I47" s="1494"/>
      <c r="J47" s="1494"/>
      <c r="K47" s="1494"/>
      <c r="L47" s="1494"/>
      <c r="M47" s="1494"/>
      <c r="N47" s="1494"/>
      <c r="O47" s="738"/>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c r="A48" s="781"/>
      <c r="B48" s="206"/>
      <c r="C48" s="166"/>
      <c r="D48" s="206"/>
      <c r="E48" s="236"/>
      <c r="F48" s="239" t="s">
        <v>261</v>
      </c>
      <c r="G48" s="1552" t="str">
        <f>Translations!$B$146</f>
        <v>konkrečių anglių rūšių grynąja šilumingumo verte.</v>
      </c>
      <c r="H48" s="1552"/>
      <c r="I48" s="1552"/>
      <c r="J48" s="1552"/>
      <c r="K48" s="1552"/>
      <c r="L48" s="1552"/>
      <c r="M48" s="1552"/>
      <c r="N48" s="1552"/>
      <c r="O48" s="738"/>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c r="A49" s="781"/>
      <c r="B49" s="206"/>
      <c r="C49" s="166"/>
      <c r="D49" s="206"/>
      <c r="E49" s="237" t="str">
        <f>Translations!$B$658</f>
        <v>Pirkimo dokumentai</v>
      </c>
      <c r="F49" s="1567" t="str">
        <f>Translations!$B$147</f>
        <v>Grynojo šilumingumo vertė gali būti pirkimo dokumentuose kuro tiekėjo nurodyta vertė, jei ji nustatyta remiantis pripažintais nacionaliniais ar tarptautiniais standartais. (Taikoma tik komerciniu būdu įsigyjama kurui).</v>
      </c>
      <c r="G49" s="1567"/>
      <c r="H49" s="1567"/>
      <c r="I49" s="1567"/>
      <c r="J49" s="1567"/>
      <c r="K49" s="1567"/>
      <c r="L49" s="1567"/>
      <c r="M49" s="1567"/>
      <c r="N49" s="1567"/>
      <c r="O49" s="738"/>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c r="A50" s="781"/>
      <c r="B50" s="206"/>
      <c r="C50" s="166"/>
      <c r="D50" s="206"/>
      <c r="E50" s="237" t="str">
        <f>Translations!$B$156</f>
        <v>Laboratoriniai tyrimai</v>
      </c>
      <c r="F50" s="1567" t="str">
        <f>Translations!$B$148</f>
        <v>Šiuo atveju taikomi visi 32–35 str. reikalavimai tyrimams.</v>
      </c>
      <c r="G50" s="1567"/>
      <c r="H50" s="1567"/>
      <c r="I50" s="1567"/>
      <c r="J50" s="1567"/>
      <c r="K50" s="1567"/>
      <c r="L50" s="1567"/>
      <c r="M50" s="1567"/>
      <c r="N50" s="1567"/>
      <c r="O50" s="738"/>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1" customFormat="1" ht="12.75" customHeight="1">
      <c r="A51" s="809"/>
      <c r="B51" s="5"/>
      <c r="C51" s="166"/>
      <c r="D51" s="31"/>
      <c r="E51" s="240" t="str">
        <f>Translations!$B$659</f>
        <v>I tipas, biol.</v>
      </c>
      <c r="F51" s="1554" t="str">
        <f>Translations!$B$149</f>
        <v>Taikomas vienas iš toliau nurodytų metodų (jie laikomi lygiaverčiais):</v>
      </c>
      <c r="G51" s="1554"/>
      <c r="H51" s="1554"/>
      <c r="I51" s="1554"/>
      <c r="J51" s="1554"/>
      <c r="K51" s="1554"/>
      <c r="L51" s="1554"/>
      <c r="M51" s="1554"/>
      <c r="N51" s="1554"/>
      <c r="O51" s="732"/>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c r="A52" s="811"/>
      <c r="B52" s="5"/>
      <c r="C52" s="166"/>
      <c r="D52" s="5"/>
      <c r="E52" s="240"/>
      <c r="F52" s="241" t="s">
        <v>261</v>
      </c>
      <c r="G52" s="1494" t="str">
        <f>Translations!$B$150</f>
        <v>Numatytosios vertės arba pagal 39 str. 2 dalį Komisijos paskelbto nustatymo metodo naudojimas;</v>
      </c>
      <c r="H52" s="1494"/>
      <c r="I52" s="1494"/>
      <c r="J52" s="1494"/>
      <c r="K52" s="1494"/>
      <c r="L52" s="1494"/>
      <c r="M52" s="1494"/>
      <c r="N52" s="1494"/>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c r="A53" s="781"/>
      <c r="B53" s="206"/>
      <c r="C53" s="166"/>
      <c r="D53" s="206"/>
      <c r="E53" s="240"/>
      <c r="F53" s="241" t="s">
        <v>261</v>
      </c>
      <c r="G53" s="1494" t="str">
        <f>Translations!$B$151</f>
        <v>Naudoti vertę, nustatytą pagal 39 str. 2 dalies 2 pastraipą, t. y. daryti prielaidą, kad medžiaga yra tik iškastinė (BF=0), arba naudoti kompetentingos institucijos patvirtintą matavimo metodą;</v>
      </c>
      <c r="H53" s="1494"/>
      <c r="I53" s="1494"/>
      <c r="J53" s="1494"/>
      <c r="K53" s="1494"/>
      <c r="L53" s="1494"/>
      <c r="M53" s="1494"/>
      <c r="N53" s="1494"/>
      <c r="O53" s="738"/>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c r="A54" s="781"/>
      <c r="B54" s="206"/>
      <c r="C54" s="166"/>
      <c r="D54" s="206"/>
      <c r="E54" s="236"/>
      <c r="F54" s="239" t="s">
        <v>261</v>
      </c>
      <c r="G54" s="155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52"/>
      <c r="I54" s="1552"/>
      <c r="J54" s="1552"/>
      <c r="K54" s="1552"/>
      <c r="L54" s="1552"/>
      <c r="M54" s="1552"/>
      <c r="N54" s="1552"/>
      <c r="O54" s="738"/>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1" customFormat="1" ht="31.5" customHeight="1">
      <c r="A55" s="809"/>
      <c r="C55" s="142"/>
      <c r="D55" s="9"/>
      <c r="E55" s="236" t="str">
        <f>Translations!$B$661</f>
        <v>II tipas, biol.</v>
      </c>
      <c r="F55" s="1567" t="str">
        <f>Translations!$B$152</f>
        <v>Biomasės dalis nustatoma pagal 39 str. 1 dalį, t.y. laboratoriniais tyrimais. Tokiu atveju kompetentinga institucija turi aiškiai patvirtinti atitinkamus standartus ir tam naudosimus tyrimo metodus.</v>
      </c>
      <c r="G55" s="1567"/>
      <c r="H55" s="1567"/>
      <c r="I55" s="1567"/>
      <c r="J55" s="1567"/>
      <c r="K55" s="1567"/>
      <c r="L55" s="1567"/>
      <c r="M55" s="1567"/>
      <c r="N55" s="1567"/>
      <c r="O55" s="737"/>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c r="A56" s="781"/>
      <c r="C56" s="166"/>
      <c r="D56" s="206"/>
      <c r="E56" s="166"/>
      <c r="F56" s="206"/>
      <c r="G56" s="206"/>
      <c r="H56" s="206"/>
      <c r="I56" s="206"/>
      <c r="J56" s="206"/>
      <c r="K56" s="206"/>
      <c r="L56" s="206"/>
      <c r="M56" s="206"/>
      <c r="N56" s="206"/>
      <c r="O56" s="736"/>
      <c r="P56" s="392"/>
      <c r="Q56" s="392"/>
      <c r="R56" s="392"/>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1" customFormat="1" ht="15" customHeight="1">
      <c r="A57" s="809"/>
      <c r="C57" s="142"/>
      <c r="D57" s="810"/>
      <c r="E57" s="1568" t="str">
        <f>Translations!$B$662</f>
        <v>Pranešimai apie klaidas:</v>
      </c>
      <c r="F57" s="1568"/>
      <c r="G57" s="1568"/>
      <c r="H57" s="1568"/>
      <c r="I57" s="1568"/>
      <c r="J57" s="1568"/>
      <c r="K57" s="1568"/>
      <c r="L57" s="1568"/>
      <c r="M57" s="1568"/>
      <c r="N57" s="1568"/>
      <c r="O57" s="73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c r="A58" s="781"/>
      <c r="B58" s="206"/>
      <c r="C58" s="166"/>
      <c r="D58" s="206"/>
      <c r="E58" s="237" t="str">
        <f>EUconst_ERR_Incomplete</f>
        <v>Nebaigta!</v>
      </c>
      <c r="F58" s="1567" t="str">
        <f>Translations!$B$663</f>
        <v>Šis pranešimas apie klaidą reiškia, kad įrašai šioje eilutėje yra privalomi, bet jų nėra.</v>
      </c>
      <c r="G58" s="1567"/>
      <c r="H58" s="1567"/>
      <c r="I58" s="1567"/>
      <c r="J58" s="1567"/>
      <c r="K58" s="1567"/>
      <c r="L58" s="1567"/>
      <c r="M58" s="1567"/>
      <c r="N58" s="1567"/>
      <c r="O58" s="738"/>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c r="A59" s="781"/>
      <c r="B59" s="206"/>
      <c r="C59" s="166"/>
      <c r="D59" s="206"/>
      <c r="E59" s="237" t="str">
        <f>EUconst_ERR_Inconsistent</f>
        <v>Nenuoseklu!</v>
      </c>
      <c r="F59" s="156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7"/>
      <c r="H59" s="1567"/>
      <c r="I59" s="1567"/>
      <c r="J59" s="1567"/>
      <c r="K59" s="1567"/>
      <c r="L59" s="1567"/>
      <c r="M59" s="1567"/>
      <c r="N59" s="1567"/>
      <c r="O59" s="73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c r="A60" s="781"/>
      <c r="C60" s="499"/>
      <c r="D60" s="37"/>
      <c r="E60" s="501"/>
      <c r="F60" s="36"/>
      <c r="G60" s="39"/>
      <c r="H60" s="39"/>
      <c r="I60" s="39"/>
      <c r="J60" s="39"/>
      <c r="K60" s="39"/>
      <c r="L60" s="39"/>
      <c r="M60" s="39"/>
      <c r="N60" s="39"/>
      <c r="O60" s="736"/>
      <c r="P60" s="392"/>
      <c r="Q60" s="392"/>
      <c r="R60" s="392"/>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c r="A61" s="813"/>
      <c r="B61" s="495"/>
      <c r="C61" s="495"/>
      <c r="D61" s="180"/>
      <c r="E61" s="496"/>
      <c r="F61" s="495"/>
      <c r="G61" s="487"/>
      <c r="H61" s="487"/>
      <c r="I61" s="487"/>
      <c r="J61" s="487"/>
      <c r="K61" s="495"/>
      <c r="L61" s="487"/>
      <c r="M61" s="487"/>
      <c r="N61" s="487"/>
      <c r="O61" s="740"/>
      <c r="P61" s="494"/>
      <c r="Q61" s="494"/>
      <c r="R61" s="494"/>
      <c r="S61" s="23"/>
      <c r="T61" s="27">
        <f>IF(ISBLANK(E62),"",MATCH(E62,CNTR_SourceStreamNames,0))</f>
        <v>1</v>
      </c>
      <c r="U61" s="618"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t="s">
        <v>262</v>
      </c>
    </row>
    <row r="62" spans="1:78" s="142" customFormat="1" ht="15" customHeight="1" thickBot="1">
      <c r="A62" s="869" t="str">
        <f>IF(E62="","","PRINT")</f>
        <v>PRINT</v>
      </c>
      <c r="B62" s="166"/>
      <c r="C62" s="617">
        <v>1</v>
      </c>
      <c r="D62" s="166"/>
      <c r="E62" s="1542" t="s">
        <v>1819</v>
      </c>
      <c r="F62" s="1543"/>
      <c r="G62" s="1543"/>
      <c r="H62" s="1543"/>
      <c r="I62" s="1543"/>
      <c r="J62" s="1544"/>
      <c r="K62" s="1545" t="str">
        <f>IF(E63="","",INDEX(EUwideConstants!$F$353:$F$394,MATCH(E63,EUConst_TierActivityListNames,0)))</f>
        <v>Degimas</v>
      </c>
      <c r="L62" s="1546"/>
      <c r="M62" s="503" t="str">
        <f>Translations!$B$665</f>
        <v>CO2, iškastinio kuro kilmės:</v>
      </c>
      <c r="N62" s="1050">
        <f>IF(OR(K62="",T63=TRUE),"",INDEX(BC76:BE76,MATCH(K62,BC72:BE72,0)))</f>
        <v>26608.227006820198</v>
      </c>
      <c r="O62" s="741" t="s">
        <v>260</v>
      </c>
      <c r="P62" s="1157" t="str">
        <f>IF(AND(E62&lt;&gt;"",COUNTIF(P63:$P$2089,"PRINT")=0),"PRINT","")</f>
        <v/>
      </c>
      <c r="Q62" s="352" t="str">
        <f>EUconst_SumCO2 &amp; "_" &amp; K62</f>
        <v>SUM_CO2_Degimas</v>
      </c>
      <c r="R62" s="494"/>
      <c r="S62" s="23"/>
      <c r="T62" s="509" t="s">
        <v>393</v>
      </c>
      <c r="U62" s="23"/>
      <c r="V62" s="78"/>
      <c r="W62" s="56"/>
      <c r="X62" s="58"/>
      <c r="Y62" s="58"/>
      <c r="Z62" s="58"/>
      <c r="AA62" s="58"/>
      <c r="AB62" s="58"/>
      <c r="AC62" s="58"/>
      <c r="AD62" s="58"/>
      <c r="AE62" s="58"/>
      <c r="AF62" s="58"/>
      <c r="AG62" s="58"/>
      <c r="AH62" s="58"/>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14385.526</v>
      </c>
      <c r="BI62" s="871" t="str">
        <f>AJ72</f>
        <v>1 000 Nm3</v>
      </c>
      <c r="BJ62" s="871">
        <f>AR74</f>
        <v>55.23</v>
      </c>
      <c r="BK62" s="871" t="str">
        <f>AJ74</f>
        <v>tCO2/TJ</v>
      </c>
      <c r="BL62" s="871">
        <f>AR75</f>
        <v>33.49</v>
      </c>
      <c r="BM62" s="871" t="str">
        <f>AJ75</f>
        <v>GJ/1 000 Nm3</v>
      </c>
      <c r="BN62" s="871">
        <f>AR76</f>
        <v>1</v>
      </c>
      <c r="BO62" s="871">
        <f>AR77</f>
        <v>1</v>
      </c>
      <c r="BP62" s="871">
        <f>AR78</f>
        <v>0</v>
      </c>
      <c r="BQ62" s="871" t="str">
        <f>AJ78</f>
        <v/>
      </c>
      <c r="BR62" s="871">
        <f>AR79</f>
        <v>0</v>
      </c>
      <c r="BS62" s="871">
        <f>AR80</f>
        <v>0</v>
      </c>
      <c r="BT62" s="871">
        <f>N62</f>
        <v>26608.227006820198</v>
      </c>
      <c r="BU62" s="871">
        <f>N63</f>
        <v>0</v>
      </c>
      <c r="BV62" s="871">
        <f>R65</f>
        <v>0</v>
      </c>
      <c r="BW62" s="871">
        <f>R71</f>
        <v>481.77126573999999</v>
      </c>
      <c r="BX62" s="871">
        <f>R72</f>
        <v>0</v>
      </c>
      <c r="BY62" s="56"/>
      <c r="BZ62" s="619" t="b">
        <f>CNTR_CalcRelevant=EUconst_NotRelevant</f>
        <v>0</v>
      </c>
    </row>
    <row r="63" spans="1:78" s="142" customFormat="1" ht="15" customHeight="1" thickBot="1">
      <c r="A63" s="808"/>
      <c r="B63" s="166"/>
      <c r="C63" s="166"/>
      <c r="D63" s="166"/>
      <c r="E63" s="1547" t="str">
        <f>IF(ISBLANK(E62),"",IF(INDEX(B_InstallationDescription!$E$71:$E$145,MATCH(U61,B_InstallationDescription!$D$71:$D$145,0))&gt;0,INDEX(B_InstallationDescription!$E$71:$E$145,MATCH(U61,B_InstallationDescription!$D$71:$D$145,0)),""))</f>
        <v>Degimas: Kitas dujinis ir skystasis kuras</v>
      </c>
      <c r="F63" s="1548"/>
      <c r="G63" s="1548"/>
      <c r="H63" s="1548"/>
      <c r="I63" s="1548"/>
      <c r="J63" s="1549"/>
      <c r="M63" s="346" t="str">
        <f>Translations!$B$666</f>
        <v>CO2, biomasės kilmės.:</v>
      </c>
      <c r="N63" s="1051">
        <f>IF(OR(K62="",T63=TRUE),"",INDEX(BC75:BE75,MATCH(K62,BC72:BE72,0)))</f>
        <v>0</v>
      </c>
      <c r="O63" s="742" t="s">
        <v>260</v>
      </c>
      <c r="P63" s="494"/>
      <c r="Q63" s="352" t="str">
        <f>EUconst_SumBioCO2 &amp; "_" &amp; K62</f>
        <v>SUM_bioCO2_Degimas</v>
      </c>
      <c r="R63" s="494"/>
      <c r="S63" s="23"/>
      <c r="T63" s="48" t="b">
        <f>IF(E63="","",MATCH(E63,EUConst_TierActivityListNames,0)&gt;40)</f>
        <v>0</v>
      </c>
      <c r="U63" s="23"/>
      <c r="V63" s="78"/>
      <c r="W63" s="56"/>
      <c r="X63" s="58"/>
      <c r="Y63" s="27" t="s">
        <v>93</v>
      </c>
      <c r="Z63" s="30"/>
      <c r="AA63" s="30"/>
      <c r="AB63" s="30"/>
      <c r="AC63" s="30"/>
      <c r="AD63" s="30"/>
      <c r="AE63" s="27" t="s">
        <v>302</v>
      </c>
      <c r="AF63" s="58"/>
      <c r="AG63" s="504"/>
      <c r="AH63" s="30"/>
      <c r="AI63" s="30"/>
      <c r="AJ63" s="504"/>
      <c r="AK63" s="504"/>
      <c r="AL63" s="342"/>
      <c r="AM63" s="27" t="s">
        <v>308</v>
      </c>
      <c r="AN63" s="505"/>
      <c r="AO63" s="505"/>
      <c r="AP63" s="30"/>
      <c r="AQ63" s="30"/>
      <c r="AR63" s="30"/>
      <c r="AS63" s="30"/>
      <c r="AT63" s="30"/>
      <c r="AU63" s="30"/>
      <c r="AV63" s="27" t="s">
        <v>315</v>
      </c>
      <c r="AW63" s="30"/>
      <c r="AX63" s="492"/>
      <c r="AY63" s="30"/>
      <c r="AZ63" s="30"/>
      <c r="BA63" s="30"/>
      <c r="BB63" s="27" t="s">
        <v>219</v>
      </c>
      <c r="BC63" s="30"/>
      <c r="BD63" s="30"/>
      <c r="BE63" s="30"/>
      <c r="BF63" s="30"/>
      <c r="BG63" s="27"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0"/>
      <c r="BZ63" s="30"/>
    </row>
    <row r="64" spans="1:78" s="142" customFormat="1" ht="5.0999999999999996" customHeight="1" thickBot="1">
      <c r="A64" s="808"/>
      <c r="B64" s="166"/>
      <c r="C64" s="166"/>
      <c r="D64" s="166"/>
      <c r="E64" s="166"/>
      <c r="F64" s="166"/>
      <c r="G64" s="166"/>
      <c r="M64" s="143"/>
      <c r="N64" s="143"/>
      <c r="O64" s="733"/>
      <c r="P64" s="33"/>
      <c r="Q64" s="33"/>
      <c r="R64" s="33"/>
      <c r="S64" s="23"/>
      <c r="T64" s="23"/>
      <c r="U64" s="23"/>
      <c r="V64" s="78"/>
      <c r="W64" s="30"/>
      <c r="X64" s="30"/>
      <c r="Y64" s="494"/>
      <c r="Z64" s="30"/>
      <c r="AA64" s="30"/>
      <c r="AB64" s="30"/>
      <c r="AC64" s="30"/>
      <c r="AD64" s="30"/>
      <c r="AE64" s="30"/>
      <c r="AF64" s="58"/>
      <c r="AG64" s="30"/>
      <c r="AH64" s="30"/>
      <c r="AI64" s="30"/>
      <c r="AJ64" s="504"/>
      <c r="AK64" s="504"/>
      <c r="AL64" s="342"/>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c r="A65" s="808"/>
      <c r="B65" s="166"/>
      <c r="C65" s="166"/>
      <c r="D65" s="166"/>
      <c r="E65" s="1550" t="str">
        <f>IF(E62="","",IF(T63=TRUE,HYPERLINK("#JUMP_14",EUconst_MsgGoOnPFC),HYPERLINK("#JUMP_E_8",EUconst_FurtherGuidancePoint1)))</f>
        <v xml:space="preserve">Išsamios duomenų įvedimo naudojantis šia priemone instrukcijos pateiktos šio lapo viršuje. </v>
      </c>
      <c r="F65" s="1550"/>
      <c r="G65" s="1550"/>
      <c r="H65" s="1550"/>
      <c r="I65" s="1550"/>
      <c r="J65" s="1550"/>
      <c r="K65" s="1550"/>
      <c r="L65" s="1550"/>
      <c r="M65" s="1550"/>
      <c r="N65" s="143"/>
      <c r="O65" s="733"/>
      <c r="P65" s="33"/>
      <c r="Q65" s="352" t="str">
        <f>EUconst_SumNonSustBioCO2 &amp; "_" &amp; K62</f>
        <v>SUM_bioNonSustCO2_Degimas</v>
      </c>
      <c r="R65" s="707">
        <f>IF(OR(K62="",T63=TRUE),"",ROUND(INDEX(BC74:BE74,MATCH(K62,BC72:BE72,0)),0))</f>
        <v>0</v>
      </c>
      <c r="S65" s="23"/>
      <c r="T65" s="23"/>
      <c r="U65" s="23"/>
      <c r="V65" s="30"/>
      <c r="W65" s="30"/>
      <c r="X65" s="30"/>
      <c r="Y65" s="58"/>
      <c r="Z65" s="30"/>
      <c r="AA65" s="30"/>
      <c r="AB65" s="30"/>
      <c r="AC65" s="30"/>
      <c r="AD65" s="30"/>
      <c r="AE65" s="30"/>
      <c r="AF65" s="58"/>
      <c r="AG65" s="30"/>
      <c r="AH65" s="30"/>
      <c r="AI65" s="30"/>
      <c r="AJ65" s="504"/>
      <c r="AK65" s="504"/>
      <c r="AL65" s="342"/>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c r="A66" s="808"/>
      <c r="B66" s="166"/>
      <c r="C66" s="166"/>
      <c r="D66" s="166"/>
      <c r="E66" s="166"/>
      <c r="F66" s="166"/>
      <c r="G66" s="166"/>
      <c r="M66" s="143"/>
      <c r="N66" s="143"/>
      <c r="O66" s="733"/>
      <c r="P66" s="23"/>
      <c r="Q66" s="23"/>
      <c r="R66" s="23"/>
      <c r="S66" s="23"/>
      <c r="T66" s="23"/>
      <c r="U66" s="23"/>
      <c r="V66" s="30"/>
      <c r="W66" s="30"/>
      <c r="X66" s="30"/>
      <c r="Y66" s="494"/>
      <c r="Z66" s="30"/>
      <c r="AA66" s="30"/>
      <c r="AB66" s="30"/>
      <c r="AC66" s="30"/>
      <c r="AD66" s="30"/>
      <c r="AE66" s="30"/>
      <c r="AF66" s="58"/>
      <c r="AG66" s="30"/>
      <c r="AH66" s="30"/>
      <c r="AI66" s="30"/>
      <c r="AJ66" s="504"/>
      <c r="AK66" s="504"/>
      <c r="AL66" s="342"/>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c r="A67" s="808"/>
      <c r="B67" s="166"/>
      <c r="C67" s="814" t="s">
        <v>4</v>
      </c>
      <c r="D67" s="512" t="str">
        <f>Translations!$B$622</f>
        <v>VD:</v>
      </c>
      <c r="E67" s="1560" t="str">
        <f>Translations!$B$667</f>
        <v>Ar veiklos duomenys gaunami sudedant išmatuotus kiekius (t. y. ne atliekant nuolatinius matavimus)?</v>
      </c>
      <c r="F67" s="1560"/>
      <c r="G67" s="1560"/>
      <c r="H67" s="1560"/>
      <c r="I67" s="1560"/>
      <c r="J67" s="1560"/>
      <c r="K67" s="1560"/>
      <c r="L67" s="1179" t="b">
        <v>0</v>
      </c>
      <c r="M67" s="507"/>
      <c r="O67" s="733"/>
      <c r="P67" s="23"/>
      <c r="Q67" s="23"/>
      <c r="R67" s="23"/>
      <c r="S67" s="23"/>
      <c r="T67" s="23"/>
      <c r="U67" s="23"/>
      <c r="V67" s="30"/>
      <c r="W67" s="30"/>
      <c r="X67" s="30"/>
      <c r="Y67" s="494"/>
      <c r="Z67" s="30"/>
      <c r="AA67" s="30"/>
      <c r="AB67" s="30"/>
      <c r="AC67" s="1172" t="b">
        <f>AND(E62&lt;&gt;"",T63&lt;&gt;TRUE)</f>
        <v>1</v>
      </c>
      <c r="AD67" s="30"/>
      <c r="AE67" s="30"/>
      <c r="AF67" s="58"/>
      <c r="AG67" s="30"/>
      <c r="AH67" s="30"/>
      <c r="AI67" s="30"/>
      <c r="AJ67" s="504"/>
      <c r="AK67" s="504"/>
      <c r="AL67" s="342"/>
      <c r="AM67" s="30"/>
      <c r="AN67" s="30"/>
      <c r="AO67" s="30"/>
      <c r="AP67" s="30"/>
      <c r="AQ67" s="30"/>
      <c r="AR67" s="30"/>
      <c r="AS67" s="30"/>
      <c r="AT67" s="1172"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2" t="b">
        <f>OR(CNTR_CalcRelevant=EUconst_NotRelevant,AND(COUNTA(CNTR_ListRelevantSections)&gt;0,OR(T63=TRUE,E62="")))</f>
        <v>0</v>
      </c>
    </row>
    <row r="68" spans="1:78" s="142" customFormat="1" ht="5.0999999999999996" customHeight="1" thickBot="1">
      <c r="A68" s="808"/>
      <c r="B68" s="166"/>
      <c r="C68" s="166"/>
      <c r="D68" s="166"/>
      <c r="E68" s="166"/>
      <c r="F68" s="166"/>
      <c r="G68" s="166"/>
      <c r="H68" s="495"/>
      <c r="I68" s="495"/>
      <c r="J68" s="495"/>
      <c r="K68" s="495"/>
      <c r="L68" s="495"/>
      <c r="M68" s="507"/>
      <c r="O68" s="733"/>
      <c r="P68" s="23"/>
      <c r="Q68" s="23"/>
      <c r="R68" s="23"/>
      <c r="S68" s="23"/>
      <c r="T68" s="23"/>
      <c r="U68" s="23"/>
      <c r="V68" s="30"/>
      <c r="W68" s="30"/>
      <c r="X68" s="30"/>
      <c r="Y68" s="494"/>
      <c r="Z68" s="30"/>
      <c r="AA68" s="30"/>
      <c r="AB68" s="30"/>
      <c r="AC68" s="492"/>
      <c r="AD68" s="30"/>
      <c r="AE68" s="30"/>
      <c r="AF68" s="58"/>
      <c r="AG68" s="30"/>
      <c r="AH68" s="30"/>
      <c r="AI68" s="30"/>
      <c r="AJ68" s="504"/>
      <c r="AK68" s="504"/>
      <c r="AL68" s="342"/>
      <c r="AM68" s="30"/>
      <c r="AN68" s="30"/>
      <c r="AO68" s="30"/>
      <c r="AP68" s="30"/>
      <c r="AQ68" s="30"/>
      <c r="AR68" s="30"/>
      <c r="AS68" s="30"/>
      <c r="AT68" s="492"/>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2"/>
    </row>
    <row r="69" spans="1:78" s="142" customFormat="1" ht="12.75" customHeight="1" thickBot="1">
      <c r="A69" s="808"/>
      <c r="B69" s="166"/>
      <c r="C69" s="814" t="s">
        <v>5</v>
      </c>
      <c r="D69" s="512" t="str">
        <f>Translations!$B$622</f>
        <v>VD:</v>
      </c>
      <c r="E69" s="1162" t="str">
        <f>Translations!$B$668</f>
        <v>Pradinis kiekis:</v>
      </c>
      <c r="F69" s="1180"/>
      <c r="G69" s="1163" t="str">
        <f>Translations!$B$669</f>
        <v>Galutinis kiekis:</v>
      </c>
      <c r="H69" s="1180"/>
      <c r="I69" s="1163" t="str">
        <f>Translations!$B$670</f>
        <v>Įsigytas kiekis:</v>
      </c>
      <c r="J69" s="1180"/>
      <c r="K69" s="1163" t="str">
        <f>Translations!$B$671</f>
        <v>Perduotas kiekis:</v>
      </c>
      <c r="L69" s="1180"/>
      <c r="M69" s="1164" t="str">
        <f>IF(AND(L67=TRUE,COUNT(F69,H69,J69,L69)&lt;4),EUconst_ERR_Incomplete,"")</f>
        <v/>
      </c>
      <c r="O69" s="733"/>
      <c r="P69" s="23"/>
      <c r="Q69" s="23"/>
      <c r="R69" s="23"/>
      <c r="S69" s="23"/>
      <c r="T69" s="23"/>
      <c r="U69" s="23"/>
      <c r="V69" s="30"/>
      <c r="W69" s="30"/>
      <c r="X69" s="30"/>
      <c r="Y69" s="494"/>
      <c r="Z69" s="30"/>
      <c r="AA69" s="30"/>
      <c r="AB69" s="30"/>
      <c r="AC69" s="1172" t="b">
        <f>AC67</f>
        <v>1</v>
      </c>
      <c r="AD69" s="30"/>
      <c r="AE69" s="30"/>
      <c r="AF69" s="58"/>
      <c r="AG69" s="30"/>
      <c r="AH69" s="30"/>
      <c r="AI69" s="30"/>
      <c r="AJ69" s="504"/>
      <c r="AK69" s="504"/>
      <c r="AL69" s="342"/>
      <c r="AM69" s="30"/>
      <c r="AN69" s="30"/>
      <c r="AO69" s="30"/>
      <c r="AP69" s="30"/>
      <c r="AQ69" s="30"/>
      <c r="AR69" s="30"/>
      <c r="AS69" s="30"/>
      <c r="AT69" s="1172"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2" t="b">
        <f>OR(BZ67,AND(NOT(ISBLANK(L67)),L67=FALSE))</f>
        <v>1</v>
      </c>
    </row>
    <row r="70" spans="1:78" s="142" customFormat="1" ht="5.0999999999999996" customHeight="1" thickBot="1">
      <c r="A70" s="808"/>
      <c r="B70" s="166"/>
      <c r="C70" s="166"/>
      <c r="D70" s="166"/>
      <c r="E70" s="166"/>
      <c r="F70" s="166"/>
      <c r="G70" s="166"/>
      <c r="M70" s="143"/>
      <c r="N70" s="143"/>
      <c r="O70" s="733"/>
      <c r="P70" s="23"/>
      <c r="Q70" s="23"/>
      <c r="R70" s="23"/>
      <c r="S70" s="23"/>
      <c r="T70" s="23"/>
      <c r="U70" s="23"/>
      <c r="V70" s="30"/>
      <c r="W70" s="30"/>
      <c r="X70" s="30"/>
      <c r="Y70" s="494"/>
      <c r="Z70" s="30"/>
      <c r="AA70" s="30"/>
      <c r="AB70" s="30"/>
      <c r="AC70" s="30"/>
      <c r="AD70" s="30"/>
      <c r="AE70" s="30"/>
      <c r="AF70" s="58"/>
      <c r="AG70" s="30"/>
      <c r="AH70" s="30"/>
      <c r="AI70" s="30"/>
      <c r="AJ70" s="504"/>
      <c r="AK70" s="504"/>
      <c r="AL70" s="342"/>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c r="A71" s="808"/>
      <c r="B71" s="166"/>
      <c r="C71" s="166"/>
      <c r="D71" s="166"/>
      <c r="E71" s="166"/>
      <c r="F71" s="506" t="str">
        <f>Translations!$B$333</f>
        <v>Pakopa</v>
      </c>
      <c r="G71" s="1557" t="str">
        <f>Translations!$B$672</f>
        <v>pakopos aprašas</v>
      </c>
      <c r="H71" s="1557"/>
      <c r="I71" s="1555" t="str">
        <f>Translations!$B$158</f>
        <v>Vienetas</v>
      </c>
      <c r="J71" s="1555"/>
      <c r="K71" s="1555" t="str">
        <f>Translations!$B$673</f>
        <v>Vertė</v>
      </c>
      <c r="L71" s="1555"/>
      <c r="M71" s="507" t="str">
        <f>Translations!$B$610</f>
        <v>klaida</v>
      </c>
      <c r="O71" s="733"/>
      <c r="P71" s="508"/>
      <c r="Q71" s="352" t="str">
        <f>EUconst_SumEnergyIN &amp; "_" &amp; K62</f>
        <v>SUM_EnergyIN_Degimas</v>
      </c>
      <c r="R71" s="399">
        <f>IF(OR(K62="",T63)=TRUE,"",INDEX(BC77:BE77,MATCH(K62,BC72:BE72,0)))</f>
        <v>481.77126573999999</v>
      </c>
      <c r="S71" s="30"/>
      <c r="T71" s="489"/>
      <c r="U71" s="30"/>
      <c r="V71" s="509" t="s">
        <v>303</v>
      </c>
      <c r="W71" s="30"/>
      <c r="X71" s="30"/>
      <c r="Y71" s="494" t="s">
        <v>566</v>
      </c>
      <c r="Z71" s="494" t="s">
        <v>318</v>
      </c>
      <c r="AA71" s="30"/>
      <c r="AB71" s="30"/>
      <c r="AC71" s="505" t="s">
        <v>309</v>
      </c>
      <c r="AD71" s="30"/>
      <c r="AE71" s="30"/>
      <c r="AF71" s="492" t="s">
        <v>305</v>
      </c>
      <c r="AG71" s="492" t="s">
        <v>306</v>
      </c>
      <c r="AH71" s="494" t="s">
        <v>304</v>
      </c>
      <c r="AI71" s="504" t="s">
        <v>307</v>
      </c>
      <c r="AJ71" s="504" t="s">
        <v>567</v>
      </c>
      <c r="AK71" s="510" t="s">
        <v>311</v>
      </c>
      <c r="AL71" s="342"/>
      <c r="AM71" s="30"/>
      <c r="AN71" s="492" t="s">
        <v>305</v>
      </c>
      <c r="AO71" s="492" t="s">
        <v>306</v>
      </c>
      <c r="AP71" s="511" t="s">
        <v>310</v>
      </c>
      <c r="AQ71" s="504" t="s">
        <v>569</v>
      </c>
      <c r="AR71" s="504" t="s">
        <v>568</v>
      </c>
      <c r="AS71" s="510" t="s">
        <v>311</v>
      </c>
      <c r="AT71" s="510" t="s">
        <v>311</v>
      </c>
      <c r="AU71" s="30"/>
      <c r="AV71" s="492"/>
      <c r="AW71" s="492"/>
      <c r="AX71" s="492" t="s">
        <v>321</v>
      </c>
      <c r="AY71" s="492"/>
      <c r="AZ71" s="492"/>
      <c r="BA71" s="492"/>
      <c r="BB71" s="492"/>
      <c r="BC71" s="492"/>
      <c r="BD71" s="492"/>
      <c r="BE71" s="30"/>
      <c r="BF71" s="30"/>
      <c r="BG71" s="30"/>
      <c r="BH71" s="30"/>
      <c r="BI71" s="30"/>
      <c r="BJ71" s="30"/>
      <c r="BK71" s="30"/>
      <c r="BL71" s="30"/>
      <c r="BM71" s="30"/>
      <c r="BN71" s="30"/>
      <c r="BO71" s="30"/>
      <c r="BP71" s="30"/>
      <c r="BQ71" s="30"/>
      <c r="BR71" s="30"/>
      <c r="BS71" s="30"/>
      <c r="BT71" s="30"/>
      <c r="BU71" s="30"/>
      <c r="BV71" s="30"/>
      <c r="BW71" s="30"/>
      <c r="BX71" s="30"/>
      <c r="BY71" s="30"/>
      <c r="BZ71" s="493" t="s">
        <v>262</v>
      </c>
    </row>
    <row r="72" spans="1:78" s="142" customFormat="1" ht="12.75" customHeight="1" thickBot="1">
      <c r="A72" s="808"/>
      <c r="B72" s="166"/>
      <c r="C72" s="777" t="s">
        <v>196</v>
      </c>
      <c r="D72" s="512" t="str">
        <f>Translations!$B$622</f>
        <v>VD:</v>
      </c>
      <c r="E72" s="513"/>
      <c r="F72" s="402">
        <v>4</v>
      </c>
      <c r="G72" s="1532" t="str">
        <f>IF(OR(ISBLANK(F72),F72=EUconst_NoTier),"",IF(Z72=0,EUconst_NA,IF(ISERROR(Z72),"",Z72)))</f>
        <v>± 1,5%</v>
      </c>
      <c r="H72" s="1533"/>
      <c r="I72" s="1165" t="str">
        <f>IF(J72&lt;&gt;"","",AI72)</f>
        <v/>
      </c>
      <c r="J72" s="1166" t="s">
        <v>953</v>
      </c>
      <c r="K72" s="1173" t="str">
        <f>IF(L72="",AQ72,"")</f>
        <v/>
      </c>
      <c r="L72" s="1256">
        <v>14385.526</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0"/>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1,5%</v>
      </c>
      <c r="AA72" s="517" t="s">
        <v>304</v>
      </c>
      <c r="AB72" s="504"/>
      <c r="AC72" s="518" t="b">
        <f>AC67</f>
        <v>1</v>
      </c>
      <c r="AD72" s="30"/>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14385.526</v>
      </c>
      <c r="AS72" s="1172" t="b">
        <f>AND(AC72=TRUE,OR(L72&lt;&gt;"",AQ72=""))</f>
        <v>1</v>
      </c>
      <c r="AT72" s="1172" t="b">
        <f>AND(AC72=TRUE,NOT(AS72))</f>
        <v>0</v>
      </c>
      <c r="AU72" s="30"/>
      <c r="AV72" s="492" t="s">
        <v>314</v>
      </c>
      <c r="AW72" s="492" t="s">
        <v>319</v>
      </c>
      <c r="AX72" s="524"/>
      <c r="AY72" s="30" t="s">
        <v>542</v>
      </c>
      <c r="AZ72" s="30"/>
      <c r="BA72" s="30"/>
      <c r="BB72" s="504"/>
      <c r="BC72" s="493" t="str">
        <f>EUconst_Fuel</f>
        <v>Degimas</v>
      </c>
      <c r="BD72" s="493" t="str">
        <f>EUconst_ProcessCarbonate</f>
        <v>Proceso metu išsiskiriančios ŠESD</v>
      </c>
      <c r="BE72" s="493"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4" t="b">
        <f>BZ67</f>
        <v>0</v>
      </c>
    </row>
    <row r="73" spans="1:78" s="142" customFormat="1" ht="5.0999999999999996" customHeight="1" thickBot="1">
      <c r="A73" s="808"/>
      <c r="B73" s="166"/>
      <c r="C73" s="814"/>
      <c r="D73" s="306"/>
      <c r="F73" s="143"/>
      <c r="G73" s="143"/>
      <c r="H73" s="143" t="s">
        <v>236</v>
      </c>
      <c r="I73" s="525"/>
      <c r="J73" s="525"/>
      <c r="K73" s="143"/>
      <c r="L73" s="143"/>
      <c r="M73" s="710"/>
      <c r="O73" s="733"/>
      <c r="P73" s="33"/>
      <c r="Q73" s="33"/>
      <c r="R73" s="33"/>
      <c r="S73" s="30"/>
      <c r="T73" s="155"/>
      <c r="U73" s="497"/>
      <c r="V73" s="30"/>
      <c r="W73" s="30"/>
      <c r="X73" s="497"/>
      <c r="Y73" s="526"/>
      <c r="Z73" s="30"/>
      <c r="AA73" s="30"/>
      <c r="AB73" s="30"/>
      <c r="AC73" s="30"/>
      <c r="AD73" s="30"/>
      <c r="AE73" s="30"/>
      <c r="AF73" s="30"/>
      <c r="AG73" s="30"/>
      <c r="AH73" s="30"/>
      <c r="AI73" s="30"/>
      <c r="AJ73" s="30"/>
      <c r="AK73" s="30"/>
      <c r="AL73" s="342"/>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3"/>
    </row>
    <row r="74" spans="1:78" s="142" customFormat="1" ht="12.75" customHeight="1" thickBot="1">
      <c r="A74" s="808"/>
      <c r="B74" s="166"/>
      <c r="C74" s="814" t="s">
        <v>197</v>
      </c>
      <c r="D74" s="512" t="str">
        <f>Translations!$B$634</f>
        <v>(prelim.) ITF:</v>
      </c>
      <c r="E74" s="513"/>
      <c r="F74" s="527" t="s">
        <v>265</v>
      </c>
      <c r="G74" s="1532" t="str">
        <f t="shared" ref="G74:G80" si="0">IF(OR(ISBLANK(F74),F74=EUconst_NoTier),"",IF(Z74=0,EUconst_NotApplicable,IF(ISERROR(Z74),"",Z74)))</f>
        <v>II tipas</v>
      </c>
      <c r="H74" s="1556"/>
      <c r="I74" s="1167" t="str">
        <f>IF(J74&lt;&gt;"","",AI74)</f>
        <v/>
      </c>
      <c r="J74" s="1168" t="s">
        <v>1820</v>
      </c>
      <c r="K74" s="528" t="str">
        <f t="shared" ref="K74:K80" si="1">IF(L74="",AQ74,"")</f>
        <v/>
      </c>
      <c r="L74" s="529">
        <v>55.23</v>
      </c>
      <c r="M74" s="709" t="str">
        <f>IF(AND(E63&lt;&gt;"",OR(F74="",COUNT(K74:L74)=0),Y74&lt;&gt;EUconst_NA,T63&lt;&gt;TRUE),EUconst_ERR_Incomplete,IF(COUNTIF(AX74:AZ74,TRUE)&gt;0,EUconst_ERR_Inconsistent,""))</f>
        <v/>
      </c>
      <c r="N74" s="495"/>
      <c r="O74" s="733"/>
      <c r="P74" s="33"/>
      <c r="Q74" s="33"/>
      <c r="R74" s="33"/>
      <c r="S74" s="30"/>
      <c r="T74" s="530" t="str">
        <f>EUconst_CNTR_EF&amp;E63</f>
        <v>EF_Degimas: Kitas dujinis ir skystasis kuras</v>
      </c>
      <c r="U74" s="497"/>
      <c r="V74" s="531" t="str">
        <f>V72</f>
        <v>Dujinis – Gamtinės dujos</v>
      </c>
      <c r="W74" s="30"/>
      <c r="X74" s="497"/>
      <c r="Y74" s="532">
        <f>IF(OR(T63=TRUE,E63=""),"",IF(F74=EUconst_NA,EUconst_NA,INDEX(EUwideConstants!$N:$N,MATCH(T74,EUwideConstants!$Q:$Q,0))))</f>
        <v>3</v>
      </c>
      <c r="Z74" s="533" t="str">
        <f>IF(ISBLANK(F74),"",IF(F74=EUconst_NA,"",INDEX(EUwideConstants!$H:$M,MATCH(T74,EUwideConstants!$Q:$Q,0),MATCH(F74,CNTR_TierList,0))))</f>
        <v>II tipas</v>
      </c>
      <c r="AA74" s="534">
        <f>IF(COUNTIF(EUconst_DefaultValues,Z74)&gt;0,MATCH(Z74,EUconst_DefaultValues,0),"")</f>
        <v>2</v>
      </c>
      <c r="AB74" s="30"/>
      <c r="AC74" s="535" t="b">
        <f>AND(AC72,Y74&lt;&gt;EUconst_NA)</f>
        <v>1</v>
      </c>
      <c r="AD74" s="30"/>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tCO2/TJ</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1</v>
      </c>
      <c r="AQ74" s="543" t="str">
        <f>IF(AND(AA74&lt;&gt;"",AP74=TRUE),IF(OR(INDEX(AN74:AO74,3-AA74)=EUconst_NA,INDEX(AN74:AO74,3-AA74)=0),"",INDEX(AN74:AO74,3-AA74)),"")</f>
        <v/>
      </c>
      <c r="AR74" s="535">
        <f>IF(AC74=TRUE,IF(COUNT(K74:L74)=0,0,IF(L74="",K74,L74)),0)</f>
        <v>55.23</v>
      </c>
      <c r="AS74" s="531" t="b">
        <f>AND(AC74=TRUE,OR(AND(F74&lt;&gt;"",NOT(ISNUMBER(AA74))),L74&lt;&gt;"",F74="",AQ74=""))</f>
        <v>1</v>
      </c>
      <c r="AT74" s="531" t="b">
        <f t="shared" ref="AT74:AT80" si="2">AND(AC74=TRUE,NOT(AS74))</f>
        <v>0</v>
      </c>
      <c r="AU74" s="30"/>
      <c r="AV74" s="544" t="b">
        <f t="shared" ref="AV74:AV80" si="3">AND(ISNUMBER(AA74),AQ74="")</f>
        <v>1</v>
      </c>
      <c r="AW74" s="545" t="b">
        <f t="shared" ref="AW74:AW80" si="4">AND(ISNUMBER(AA74),AQ74&lt;&gt;AR74)</f>
        <v>1</v>
      </c>
      <c r="AX74" s="546" t="b">
        <f>OR(AND(AJ72=EUconst_kNm3,AJ74=EUconst_tCO2pt),AND(AJ72=EUconst_t,AJ74=EUconst_tCO2pkNm3))</f>
        <v>0</v>
      </c>
      <c r="AY74" s="531" t="b">
        <f t="shared" ref="AY74:AY80" si="5">AND(L74&lt;&gt;"",Y74=EUconst_NA)</f>
        <v>0</v>
      </c>
      <c r="AZ74" s="30"/>
      <c r="BA74" s="30"/>
      <c r="BB74" s="547" t="s">
        <v>594</v>
      </c>
      <c r="BC74" s="546">
        <f>IF(K62=BC72,AR72*IF(AJ74=EUconst_tCO2pTJ,(AR75/1000),1)*AR74*AR76*AR80,"")</f>
        <v>0</v>
      </c>
      <c r="BD74" s="524" t="str">
        <f>IF(K62=BD72,AR72*AR74*AR77*AR80,"")</f>
        <v/>
      </c>
      <c r="BE74" s="523"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1" t="b">
        <f>OR(BZ72,Y74=EUconst_NA)</f>
        <v>0</v>
      </c>
    </row>
    <row r="75" spans="1:78" s="142" customFormat="1" ht="12.75" customHeight="1" thickBot="1">
      <c r="A75" s="808"/>
      <c r="B75" s="166"/>
      <c r="C75" s="814" t="s">
        <v>198</v>
      </c>
      <c r="D75" s="512" t="str">
        <f>Translations!$B$636</f>
        <v>GŠV:</v>
      </c>
      <c r="E75" s="513"/>
      <c r="F75" s="548" t="s">
        <v>265</v>
      </c>
      <c r="G75" s="1532" t="str">
        <f t="shared" si="0"/>
        <v>II tipas</v>
      </c>
      <c r="H75" s="1533"/>
      <c r="I75" s="1169" t="str">
        <f>AJ75</f>
        <v>GJ/1 000 Nm3</v>
      </c>
      <c r="J75" s="549"/>
      <c r="K75" s="550" t="str">
        <f t="shared" si="1"/>
        <v/>
      </c>
      <c r="L75" s="551">
        <v>33.49</v>
      </c>
      <c r="M75" s="709" t="str">
        <f>IF(AND(E63&lt;&gt;"",OR(F75="",COUNT(K75:L75)=0),Y75&lt;&gt;EUconst_NA,T63&lt;&gt;TRUE),EUconst_ERR_Incomplete,IF(COUNTIF(AX75:AZ75,TRUE)&gt;0,EUconst_ERR_Inconsistent,""))</f>
        <v/>
      </c>
      <c r="O75" s="733"/>
      <c r="P75" s="33"/>
      <c r="Q75" s="33"/>
      <c r="R75" s="33"/>
      <c r="S75" s="30"/>
      <c r="T75" s="552" t="str">
        <f>EUconst_CNTR_NCV&amp;E63</f>
        <v>NCV_Degimas: Kitas dujinis ir skystasis kuras</v>
      </c>
      <c r="U75" s="497"/>
      <c r="V75" s="553" t="str">
        <f t="shared" ref="V75:V80" si="6">V74</f>
        <v>Dujinis – Gamtinės dujos</v>
      </c>
      <c r="W75" s="30"/>
      <c r="X75" s="497"/>
      <c r="Y75" s="554">
        <f>IF(OR(T63=TRUE,E63=""),"",IF(F75=EUconst_NA,EUconst_NA,INDEX(EUwideConstants!$N:$N,MATCH(T75,EUwideConstants!$Q:$Q,0))))</f>
        <v>3</v>
      </c>
      <c r="Z75" s="555" t="str">
        <f>IF(ISBLANK(F75),"",IF(F75=EUconst_NA,"",INDEX(EUwideConstants!$H:$M,MATCH(T75,EUwideConstants!$Q:$Q,0),MATCH(F75,CNTR_TierList,0))))</f>
        <v>II tipas</v>
      </c>
      <c r="AA75" s="556">
        <f>IF(COUNTIF(EUconst_DefaultValues,Z75)&gt;0,MATCH(Z75,EUconst_DefaultValues,0),"")</f>
        <v>2</v>
      </c>
      <c r="AB75" s="30"/>
      <c r="AC75" s="557" t="b">
        <f>AND(AC72,Y75&lt;&gt;EUconst_NA)</f>
        <v>1</v>
      </c>
      <c r="AD75" s="30"/>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netaik.</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33.49</v>
      </c>
      <c r="AS75" s="553" t="b">
        <f>AND(AC75=TRUE,OR(AND(F75&lt;&gt;"",NOT(ISNUMBER(AA75))),L75&lt;&gt;"",F75="",AQ75=""))</f>
        <v>1</v>
      </c>
      <c r="AT75" s="553" t="b">
        <f t="shared" si="2"/>
        <v>0</v>
      </c>
      <c r="AU75" s="30"/>
      <c r="AV75" s="567" t="b">
        <f t="shared" si="3"/>
        <v>1</v>
      </c>
      <c r="AW75" s="568" t="b">
        <f t="shared" si="4"/>
        <v>1</v>
      </c>
      <c r="AX75" s="30"/>
      <c r="AY75" s="553" t="b">
        <f t="shared" si="5"/>
        <v>0</v>
      </c>
      <c r="AZ75" s="30"/>
      <c r="BA75" s="30"/>
      <c r="BB75" s="547" t="s">
        <v>595</v>
      </c>
      <c r="BC75" s="546">
        <f>IF(K62=BC72,AR72*IF(AJ74=EUconst_tCO2pTJ,(AR75/1000),1)*AR74*AR76*AR79,"")</f>
        <v>0</v>
      </c>
      <c r="BD75" s="524" t="str">
        <f>IF(K62=BD72,AR72*AR74*AR77*AR79,"")</f>
        <v/>
      </c>
      <c r="BE75" s="523"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3" t="b">
        <f>OR(BZ72,Y75=EUconst_NA)</f>
        <v>0</v>
      </c>
    </row>
    <row r="76" spans="1:78" s="142" customFormat="1" ht="12.75" customHeight="1" thickBot="1">
      <c r="A76" s="808"/>
      <c r="B76" s="166"/>
      <c r="C76" s="814" t="s">
        <v>199</v>
      </c>
      <c r="D76" s="512" t="str">
        <f>Translations!$B$638</f>
        <v>OksK:</v>
      </c>
      <c r="E76" s="513"/>
      <c r="F76" s="548">
        <v>1</v>
      </c>
      <c r="G76" s="1532" t="str">
        <f t="shared" si="0"/>
        <v>OksK = 1</v>
      </c>
      <c r="H76" s="1533"/>
      <c r="I76" s="1170" t="str">
        <f>IF(OR(AC76=FALSE,Y76=EUconst_NA),"","-")</f>
        <v>-</v>
      </c>
      <c r="J76" s="569"/>
      <c r="K76" s="570" t="str">
        <f t="shared" si="1"/>
        <v/>
      </c>
      <c r="L76" s="703">
        <v>1</v>
      </c>
      <c r="M76" s="709" t="str">
        <f>IF(AND(E63&lt;&gt;"",OR(F76="",COUNT(K76:L76)=0),Y76&lt;&gt;EUconst_NA,T63&lt;&gt;TRUE),EUconst_ERR_Incomplete,IF(COUNTIF(AX76:AZ76,TRUE)&gt;0,EUconst_ERR_Inconsistent,""))</f>
        <v/>
      </c>
      <c r="O76" s="733"/>
      <c r="P76" s="33"/>
      <c r="Q76" s="33"/>
      <c r="R76" s="33"/>
      <c r="S76" s="30"/>
      <c r="T76" s="552" t="str">
        <f>EUconst_CNTR_OxidationFactor&amp;E63</f>
        <v>OxF_Degimas: Kitas dujinis ir skystasis kuras</v>
      </c>
      <c r="U76" s="497"/>
      <c r="V76" s="553" t="str">
        <f t="shared" si="6"/>
        <v>Dujinis – Gamtinės dujos</v>
      </c>
      <c r="W76" s="30"/>
      <c r="X76" s="497"/>
      <c r="Y76" s="554">
        <f>IF(OR(T63=TRUE,E63=""),"",INDEX(EUwideConstants!$N:$N,MATCH(T76,EUwideConstants!$Q:$Q,0)))</f>
        <v>1</v>
      </c>
      <c r="Z76" s="555" t="str">
        <f>IF(ISBLANK(F76),"",IF(F76=EUconst_NA,"",INDEX(EUwideConstants!$H:$M,MATCH(T76,EUwideConstants!$Q:$Q,0),MATCH(F76,CNTR_TierList,0))))</f>
        <v>OksK = 1</v>
      </c>
      <c r="AA76" s="534">
        <f>IF(F76=1,1,"")</f>
        <v>1</v>
      </c>
      <c r="AB76" s="30"/>
      <c r="AC76" s="557" t="b">
        <f>AND(AC72,Y76&lt;&gt;EUconst_NA)</f>
        <v>1</v>
      </c>
      <c r="AD76" s="30"/>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1</v>
      </c>
      <c r="AT76" s="553" t="b">
        <f t="shared" si="2"/>
        <v>0</v>
      </c>
      <c r="AU76" s="30"/>
      <c r="AV76" s="567" t="b">
        <f t="shared" si="3"/>
        <v>0</v>
      </c>
      <c r="AW76" s="568" t="b">
        <f t="shared" si="4"/>
        <v>0</v>
      </c>
      <c r="AX76" s="30"/>
      <c r="AY76" s="594" t="b">
        <f t="shared" si="5"/>
        <v>0</v>
      </c>
      <c r="AZ76" s="531" t="b">
        <f>AR76&gt;100%</f>
        <v>0</v>
      </c>
      <c r="BA76" s="30"/>
      <c r="BB76" s="547" t="s">
        <v>290</v>
      </c>
      <c r="BC76" s="546">
        <f>IF(K62=BC72,AR72*IF(AJ74=EUconst_tCO2pTJ,(AR75/1000),1)*AR74*AR76*(1-AR79),"")</f>
        <v>26608.227006820198</v>
      </c>
      <c r="BD76" s="524" t="str">
        <f>IF(K62=BD72,AR72*AR74*AR77*(1-AR79),"")</f>
        <v/>
      </c>
      <c r="BE76" s="523"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3" t="b">
        <f>OR(BZ72,Y76=EUconst_NA)</f>
        <v>0</v>
      </c>
    </row>
    <row r="77" spans="1:78" s="142" customFormat="1" ht="12.75" customHeight="1" thickBot="1">
      <c r="A77" s="808"/>
      <c r="B77" s="166"/>
      <c r="C77" s="814" t="s">
        <v>200</v>
      </c>
      <c r="D77" s="512" t="str">
        <f>Translations!$B$639</f>
        <v>KonvK:</v>
      </c>
      <c r="E77" s="513"/>
      <c r="F77" s="548"/>
      <c r="G77" s="1532" t="str">
        <f t="shared" si="0"/>
        <v/>
      </c>
      <c r="H77" s="1533"/>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3"/>
      <c r="Q77" s="33"/>
      <c r="R77" s="33"/>
      <c r="S77" s="30"/>
      <c r="T77" s="552" t="str">
        <f>EUconst_CNTR_ConversionFactor&amp;E63</f>
        <v>ConvF_Degimas: Kitas dujinis ir skystasis kuras</v>
      </c>
      <c r="U77" s="497"/>
      <c r="V77" s="553" t="str">
        <f t="shared" si="6"/>
        <v>Dujinis – Gamtinės dujos</v>
      </c>
      <c r="W77" s="30"/>
      <c r="X77" s="497"/>
      <c r="Y77" s="554" t="str">
        <f>IF(OR(T63=TRUE,E63=""),"",INDEX(EUwideConstants!$N:$N,MATCH(T77,EUwideConstants!$Q:$Q,0)))</f>
        <v>netaik.</v>
      </c>
      <c r="Z77" s="555" t="str">
        <f>IF(ISBLANK(F77),"",IF(F77=EUconst_NA,"",INDEX(EUwideConstants!$H:$M,MATCH(T77,EUwideConstants!$Q:$Q,0),MATCH(F77,CNTR_TierList,0))))</f>
        <v/>
      </c>
      <c r="AA77" s="582" t="str">
        <f>IF(F77=1,1,"")</f>
        <v/>
      </c>
      <c r="AB77" s="30"/>
      <c r="AC77" s="557" t="b">
        <f>AND(AC72,Y77&lt;&gt;EUconst_NA)</f>
        <v>0</v>
      </c>
      <c r="AD77" s="30"/>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0"/>
      <c r="AV77" s="567" t="b">
        <f>AND(ISNUMBER(AA77),AQ77="")</f>
        <v>0</v>
      </c>
      <c r="AW77" s="568" t="b">
        <f t="shared" si="4"/>
        <v>0</v>
      </c>
      <c r="AX77" s="30"/>
      <c r="AY77" s="594" t="b">
        <f t="shared" si="5"/>
        <v>0</v>
      </c>
      <c r="AZ77" s="580" t="b">
        <f>AR77&gt;100%</f>
        <v>0</v>
      </c>
      <c r="BA77" s="30"/>
      <c r="BB77" s="578" t="s">
        <v>487</v>
      </c>
      <c r="BC77" s="579">
        <f>AR72*AR75/1000*(1-AR79)</f>
        <v>481.77126573999999</v>
      </c>
      <c r="BD77" s="580">
        <f>BC77</f>
        <v>481.77126573999999</v>
      </c>
      <c r="BE77" s="581">
        <f>BC77</f>
        <v>481.77126573999999</v>
      </c>
      <c r="BF77" s="30"/>
      <c r="BG77" s="30"/>
      <c r="BH77" s="30"/>
      <c r="BI77" s="30"/>
      <c r="BJ77" s="30"/>
      <c r="BK77" s="30"/>
      <c r="BL77" s="30"/>
      <c r="BM77" s="30"/>
      <c r="BN77" s="30"/>
      <c r="BO77" s="30"/>
      <c r="BP77" s="30"/>
      <c r="BQ77" s="30"/>
      <c r="BR77" s="30"/>
      <c r="BS77" s="30"/>
      <c r="BT77" s="30"/>
      <c r="BU77" s="30"/>
      <c r="BV77" s="30"/>
      <c r="BW77" s="30"/>
      <c r="BX77" s="30"/>
      <c r="BY77" s="30"/>
      <c r="BZ77" s="553" t="b">
        <f>OR(BZ72,Y77=EUconst_NA)</f>
        <v>1</v>
      </c>
    </row>
    <row r="78" spans="1:78" s="142" customFormat="1" ht="12.75" customHeight="1" thickBot="1">
      <c r="A78" s="808"/>
      <c r="B78" s="166"/>
      <c r="C78" s="814" t="s">
        <v>329</v>
      </c>
      <c r="D78" s="512" t="str">
        <f>Translations!$B$640</f>
        <v>AnglK:</v>
      </c>
      <c r="E78" s="513"/>
      <c r="F78" s="548"/>
      <c r="G78" s="1532" t="str">
        <f t="shared" si="0"/>
        <v/>
      </c>
      <c r="H78" s="1533"/>
      <c r="I78" s="1170" t="str">
        <f>AJ78</f>
        <v/>
      </c>
      <c r="J78" s="586"/>
      <c r="K78" s="587" t="str">
        <f t="shared" si="1"/>
        <v/>
      </c>
      <c r="L78" s="588"/>
      <c r="M78" s="709" t="str">
        <f>IF(AND(E63&lt;&gt;"",OR(F78="",COUNT(K78:L78)=0),Y78&lt;&gt;EUconst_NA,T63&lt;&gt;TRUE),EUconst_ERR_Incomplete,IF(COUNTIF(AX78:AZ78,TRUE)&gt;0,EUconst_ERR_Inconsistent,""))</f>
        <v/>
      </c>
      <c r="O78" s="733"/>
      <c r="P78" s="33"/>
      <c r="Q78" s="33"/>
      <c r="R78" s="33"/>
      <c r="S78" s="30"/>
      <c r="T78" s="552" t="str">
        <f>EUconst_CNTR_CarbonContent&amp;E63</f>
        <v>CarbC_Degimas: Kitas dujinis ir skystasis kuras</v>
      </c>
      <c r="U78" s="497"/>
      <c r="V78" s="553" t="str">
        <f t="shared" si="6"/>
        <v>Dujinis – Gamtinės dujos</v>
      </c>
      <c r="W78" s="30"/>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0"/>
      <c r="AC78" s="557" t="b">
        <f>AND(AC72,Y78&lt;&gt;EUconst_NA)</f>
        <v>0</v>
      </c>
      <c r="AD78" s="30"/>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0"/>
      <c r="AV78" s="567" t="b">
        <f t="shared" si="3"/>
        <v>0</v>
      </c>
      <c r="AW78" s="568" t="b">
        <f t="shared" si="4"/>
        <v>0</v>
      </c>
      <c r="AX78" s="546" t="b">
        <f>OR(AND(AJ72=EUconst_kNm3,AJ78=EUconst_tCpt),AND(AJ72=EUconst_t,AJ78=EUconst_tCpkNm3))</f>
        <v>0</v>
      </c>
      <c r="AY78" s="553" t="b">
        <f t="shared" si="5"/>
        <v>0</v>
      </c>
      <c r="AZ78" s="30"/>
      <c r="BA78" s="30"/>
      <c r="BB78" s="578" t="s">
        <v>488</v>
      </c>
      <c r="BC78" s="579">
        <f>AR72*AR75/1000*AR79</f>
        <v>0</v>
      </c>
      <c r="BD78" s="580">
        <f>BC78</f>
        <v>0</v>
      </c>
      <c r="BE78" s="581">
        <f>BC78</f>
        <v>0</v>
      </c>
      <c r="BF78" s="30"/>
      <c r="BG78" s="30"/>
      <c r="BH78" s="30"/>
      <c r="BI78" s="30"/>
      <c r="BJ78" s="30"/>
      <c r="BK78" s="30"/>
      <c r="BL78" s="30"/>
      <c r="BM78" s="30"/>
      <c r="BN78" s="30"/>
      <c r="BO78" s="30"/>
      <c r="BP78" s="30"/>
      <c r="BQ78" s="30"/>
      <c r="BR78" s="30"/>
      <c r="BS78" s="30"/>
      <c r="BT78" s="30"/>
      <c r="BU78" s="30"/>
      <c r="BV78" s="30"/>
      <c r="BW78" s="30"/>
      <c r="BX78" s="30"/>
      <c r="BY78" s="30"/>
      <c r="BZ78" s="553" t="b">
        <f>OR(BZ72,Y78=EUconst_NA)</f>
        <v>1</v>
      </c>
    </row>
    <row r="79" spans="1:78" s="142" customFormat="1" ht="12.75" customHeight="1">
      <c r="A79" s="808"/>
      <c r="B79" s="166"/>
      <c r="C79" s="777" t="s">
        <v>330</v>
      </c>
      <c r="D79" s="512" t="str">
        <f>Translations!$B$641</f>
        <v>BioC:</v>
      </c>
      <c r="E79" s="513"/>
      <c r="F79" s="548"/>
      <c r="G79" s="1532" t="str">
        <f t="shared" si="0"/>
        <v/>
      </c>
      <c r="H79" s="1533"/>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0"/>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0"/>
      <c r="AC79" s="557" t="b">
        <f>AND(AC72,Y79&lt;&gt;EUconst_NA)</f>
        <v>0</v>
      </c>
      <c r="AD79" s="30"/>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0"/>
      <c r="AV79" s="567" t="b">
        <f t="shared" si="3"/>
        <v>0</v>
      </c>
      <c r="AW79" s="568" t="b">
        <f t="shared" si="4"/>
        <v>0</v>
      </c>
      <c r="AX79" s="30"/>
      <c r="AY79" s="594" t="b">
        <f t="shared" si="5"/>
        <v>0</v>
      </c>
      <c r="AZ79" s="531"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3" t="b">
        <f>OR(BZ72,Y79=EUconst_NA)</f>
        <v>1</v>
      </c>
    </row>
    <row r="80" spans="1:78" s="142" customFormat="1" ht="12.75" customHeight="1" thickBot="1">
      <c r="A80" s="808"/>
      <c r="B80" s="166"/>
      <c r="C80" s="777" t="s">
        <v>454</v>
      </c>
      <c r="D80" s="512" t="str">
        <f>Translations!$B$647</f>
        <v>Netvar. BioC:</v>
      </c>
      <c r="E80" s="513"/>
      <c r="F80" s="597"/>
      <c r="G80" s="1532" t="str">
        <f t="shared" si="0"/>
        <v/>
      </c>
      <c r="H80" s="1533"/>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0"/>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0"/>
      <c r="AC80" s="603" t="b">
        <f>AND(AC72,Y80&lt;&gt;EUconst_NA)</f>
        <v>0</v>
      </c>
      <c r="AD80" s="30"/>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0"/>
      <c r="AV80" s="613" t="b">
        <f t="shared" si="3"/>
        <v>0</v>
      </c>
      <c r="AW80" s="614" t="b">
        <f t="shared" si="4"/>
        <v>0</v>
      </c>
      <c r="AX80" s="30"/>
      <c r="AY80" s="579" t="b">
        <f t="shared" si="5"/>
        <v>0</v>
      </c>
      <c r="AZ80" s="580"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80" t="b">
        <f>OR(BZ72,Y80=EUconst_NA)</f>
        <v>1</v>
      </c>
    </row>
    <row r="81" spans="1:78" s="142" customFormat="1" ht="5.0999999999999996" customHeight="1">
      <c r="A81" s="808"/>
      <c r="B81" s="166"/>
      <c r="C81" s="166"/>
      <c r="D81" s="180"/>
      <c r="O81" s="733"/>
      <c r="P81" s="33"/>
      <c r="Q81" s="33"/>
      <c r="R81" s="33"/>
      <c r="S81" s="174"/>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c r="A82" s="808"/>
      <c r="B82" s="166"/>
      <c r="C82" s="166"/>
      <c r="D82" s="1558" t="str">
        <f>Translations!$B$674</f>
        <v>Pakopos galioja nuo:</v>
      </c>
      <c r="E82" s="1558"/>
      <c r="F82" s="1559"/>
      <c r="G82" s="1291" t="s">
        <v>1821</v>
      </c>
      <c r="H82" s="615" t="str">
        <f>Translations!$B$675</f>
        <v>iki:</v>
      </c>
      <c r="I82" s="1291" t="s">
        <v>1822</v>
      </c>
      <c r="J82" s="1536" t="str">
        <f>Translations!$B$676</f>
        <v>Atliekų katalogo numeris (jeigu taikytina):</v>
      </c>
      <c r="K82" s="1537"/>
      <c r="L82" s="1537"/>
      <c r="M82" s="1538"/>
      <c r="N82" s="1289"/>
      <c r="O82" s="733"/>
      <c r="P82" s="33"/>
      <c r="Q82" s="33"/>
      <c r="R82" s="33"/>
      <c r="S82" s="1290"/>
      <c r="T82" s="492"/>
      <c r="U82" s="492"/>
      <c r="V82" s="48" t="b">
        <f>IF(V72="",FALSE,INDEX(CNTR_IsWaste,MATCH(V72,MSParameters!$A$218:$A$376,0)))</f>
        <v>0</v>
      </c>
      <c r="W82" s="1290"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c r="A83" s="808"/>
      <c r="B83" s="166"/>
      <c r="C83" s="166"/>
      <c r="D83" s="615"/>
      <c r="E83" s="495"/>
      <c r="F83" s="495"/>
      <c r="G83" s="495"/>
      <c r="H83" s="495"/>
      <c r="I83" s="495"/>
      <c r="J83" s="495"/>
      <c r="K83" s="495"/>
      <c r="L83" s="495"/>
      <c r="M83" s="495"/>
      <c r="N83" s="495"/>
      <c r="O83" s="733"/>
      <c r="P83" s="33"/>
      <c r="Q83" s="33"/>
      <c r="R83" s="33"/>
      <c r="S83" s="174"/>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c r="A84" s="808"/>
      <c r="B84" s="166"/>
      <c r="C84" s="166"/>
      <c r="D84" s="495"/>
      <c r="E84" s="495"/>
      <c r="F84" s="495"/>
      <c r="G84" s="495"/>
      <c r="H84" s="495"/>
      <c r="I84" s="495"/>
      <c r="J84" s="495"/>
      <c r="K84" s="495"/>
      <c r="L84" s="495"/>
      <c r="M84" s="615" t="str">
        <f>Translations!$B$677</f>
        <v>Stebėsenos plane šiam sukėlikliui suteiktas identifikatorius:</v>
      </c>
      <c r="N84" s="714"/>
      <c r="O84" s="733"/>
      <c r="P84" s="33"/>
      <c r="Q84" s="33"/>
      <c r="R84" s="33"/>
      <c r="S84" s="174"/>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c r="A85" s="815"/>
      <c r="D85" s="180"/>
      <c r="O85" s="573"/>
      <c r="P85" s="497"/>
      <c r="Q85" s="497"/>
      <c r="R85" s="497"/>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ht="36" customHeight="1">
      <c r="A86" s="815"/>
      <c r="D86" s="1534" t="str">
        <f>Translations!$B$160</f>
        <v>Pastabos:</v>
      </c>
      <c r="E86" s="1535"/>
      <c r="F86" s="1561" t="s">
        <v>1823</v>
      </c>
      <c r="G86" s="1562"/>
      <c r="H86" s="1562"/>
      <c r="I86" s="1562"/>
      <c r="J86" s="1562"/>
      <c r="K86" s="1562"/>
      <c r="L86" s="1562"/>
      <c r="M86" s="1562"/>
      <c r="N86" s="1563"/>
      <c r="O86" s="573"/>
      <c r="P86" s="497"/>
      <c r="Q86" s="497"/>
      <c r="R86" s="497"/>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c r="A87" s="808"/>
      <c r="B87" s="495"/>
      <c r="C87" s="499"/>
      <c r="D87" s="500"/>
      <c r="E87" s="501"/>
      <c r="F87" s="499"/>
      <c r="G87" s="502"/>
      <c r="H87" s="502"/>
      <c r="I87" s="502"/>
      <c r="J87" s="502"/>
      <c r="K87" s="502"/>
      <c r="L87" s="502"/>
      <c r="M87" s="502"/>
      <c r="N87" s="502"/>
      <c r="O87" s="740"/>
      <c r="P87" s="494"/>
      <c r="Q87" s="494"/>
      <c r="R87" s="494"/>
      <c r="S87" s="58"/>
      <c r="T87" s="58"/>
      <c r="U87" s="498"/>
      <c r="V87" s="58"/>
      <c r="W87" s="58"/>
      <c r="X87" s="49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c r="A88" s="813"/>
      <c r="B88" s="495"/>
      <c r="C88" s="495"/>
      <c r="D88" s="180"/>
      <c r="E88" s="496"/>
      <c r="F88" s="495"/>
      <c r="G88" s="487"/>
      <c r="H88" s="487"/>
      <c r="I88" s="487"/>
      <c r="J88" s="487"/>
      <c r="K88" s="495"/>
      <c r="L88" s="487"/>
      <c r="M88" s="487"/>
      <c r="N88" s="487"/>
      <c r="O88" s="740"/>
      <c r="P88" s="494"/>
      <c r="Q88" s="494"/>
      <c r="R88" s="494"/>
      <c r="S88" s="23"/>
      <c r="T88" s="27">
        <f>IF(ISBLANK(E89),"",MATCH(E89,CNTR_SourceStreamNames,0))</f>
        <v>2</v>
      </c>
      <c r="U88" s="618"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1"/>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3" t="s">
        <v>262</v>
      </c>
    </row>
    <row r="89" spans="1:78" s="142" customFormat="1" ht="15" customHeight="1" thickBot="1">
      <c r="A89" s="869" t="str">
        <f>IF(E89="","","PRINT")</f>
        <v>PRINT</v>
      </c>
      <c r="B89" s="166"/>
      <c r="C89" s="617">
        <f>C62+1</f>
        <v>2</v>
      </c>
      <c r="D89" s="166"/>
      <c r="E89" s="1542" t="s">
        <v>1824</v>
      </c>
      <c r="F89" s="1543"/>
      <c r="G89" s="1543"/>
      <c r="H89" s="1543"/>
      <c r="I89" s="1543"/>
      <c r="J89" s="1544"/>
      <c r="K89" s="1545" t="str">
        <f>IF(E90="","",INDEX(EUwideConstants!$F$353:$F$394,MATCH(E90,EUConst_TierActivityListNames,0)))</f>
        <v>Degimas</v>
      </c>
      <c r="L89" s="1546"/>
      <c r="M89" s="503" t="str">
        <f>Translations!$B$665</f>
        <v>CO2, iškastinio kuro kilmės:</v>
      </c>
      <c r="N89" s="1050">
        <f>IF(OR(K89="",T90=TRUE),"",INDEX(BC103:BE103,MATCH(K89,BC99:BE99,0)))</f>
        <v>0</v>
      </c>
      <c r="O89" s="741" t="s">
        <v>260</v>
      </c>
      <c r="P89" s="1157" t="str">
        <f>IF(AND(E89&lt;&gt;"",COUNTIF(P90:$P$2089,"PRINT")=0),"PRINT","")</f>
        <v/>
      </c>
      <c r="Q89" s="352" t="str">
        <f>EUconst_SumCO2 &amp; "_" &amp; K89</f>
        <v>SUM_CO2_Degimas</v>
      </c>
      <c r="R89" s="494"/>
      <c r="S89" s="23"/>
      <c r="T89" s="509" t="s">
        <v>393</v>
      </c>
      <c r="U89" s="23"/>
      <c r="V89" s="78"/>
      <c r="W89" s="56"/>
      <c r="X89" s="58"/>
      <c r="Y89" s="58"/>
      <c r="Z89" s="58"/>
      <c r="AA89" s="58"/>
      <c r="AB89" s="58"/>
      <c r="AC89" s="58"/>
      <c r="AD89" s="58"/>
      <c r="AE89" s="58"/>
      <c r="AF89" s="58"/>
      <c r="AG89" s="58"/>
      <c r="AH89" s="58"/>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0</v>
      </c>
      <c r="BI89" s="871" t="str">
        <f>AJ99</f>
        <v>t</v>
      </c>
      <c r="BJ89" s="871">
        <f>AR101</f>
        <v>72.89</v>
      </c>
      <c r="BK89" s="871" t="str">
        <f>AJ101</f>
        <v>tCO2/TJ</v>
      </c>
      <c r="BL89" s="871">
        <f>AR102</f>
        <v>43.07</v>
      </c>
      <c r="BM89" s="871" t="str">
        <f>AJ102</f>
        <v>GJ/t</v>
      </c>
      <c r="BN89" s="871">
        <f>AR103</f>
        <v>1</v>
      </c>
      <c r="BO89" s="871">
        <f>AR104</f>
        <v>1</v>
      </c>
      <c r="BP89" s="871">
        <f>AR105</f>
        <v>0</v>
      </c>
      <c r="BQ89" s="871" t="str">
        <f>AJ105</f>
        <v/>
      </c>
      <c r="BR89" s="871">
        <f>AR106</f>
        <v>0</v>
      </c>
      <c r="BS89" s="871">
        <f>AR107</f>
        <v>0</v>
      </c>
      <c r="BT89" s="871">
        <f>N89</f>
        <v>0</v>
      </c>
      <c r="BU89" s="871">
        <f>N90</f>
        <v>0</v>
      </c>
      <c r="BV89" s="871">
        <f>R92</f>
        <v>0</v>
      </c>
      <c r="BW89" s="871">
        <f>R98</f>
        <v>0</v>
      </c>
      <c r="BX89" s="871">
        <f>R99</f>
        <v>0</v>
      </c>
      <c r="BY89" s="56"/>
      <c r="BZ89" s="619" t="b">
        <f>CNTR_CalcRelevant=EUconst_NotRelevant</f>
        <v>0</v>
      </c>
    </row>
    <row r="90" spans="1:78" s="142" customFormat="1" ht="15" customHeight="1" thickBot="1">
      <c r="A90" s="808"/>
      <c r="B90" s="166"/>
      <c r="C90" s="166"/>
      <c r="D90" s="166"/>
      <c r="E90" s="1547" t="str">
        <f>IF(ISBLANK(E89),"",IF(INDEX(B_InstallationDescription!$E$71:$E$145,MATCH(U88,B_InstallationDescription!$D$71:$D$145,0))&gt;0,INDEX(B_InstallationDescription!$E$71:$E$145,MATCH(U88,B_InstallationDescription!$D$71:$D$145,0)),""))</f>
        <v>Degimas: Kitas dujinis ir skystasis kuras</v>
      </c>
      <c r="F90" s="1548"/>
      <c r="G90" s="1548"/>
      <c r="H90" s="1548"/>
      <c r="I90" s="1548"/>
      <c r="J90" s="1549"/>
      <c r="M90" s="346" t="str">
        <f>Translations!$B$666</f>
        <v>CO2, biomasės kilmės.:</v>
      </c>
      <c r="N90" s="1051">
        <f>IF(OR(K89="",T90=TRUE),"",INDEX(BC102:BE102,MATCH(K89,BC99:BE99,0)))</f>
        <v>0</v>
      </c>
      <c r="O90" s="742" t="s">
        <v>260</v>
      </c>
      <c r="P90" s="494"/>
      <c r="Q90" s="352" t="str">
        <f>EUconst_SumBioCO2 &amp; "_" &amp; K89</f>
        <v>SUM_bioCO2_Degimas</v>
      </c>
      <c r="R90" s="494"/>
      <c r="S90" s="23"/>
      <c r="T90" s="48" t="b">
        <f>IF(E90="","",MATCH(E90,EUConst_TierActivityListNames,0)&gt;40)</f>
        <v>0</v>
      </c>
      <c r="U90" s="23"/>
      <c r="V90" s="78"/>
      <c r="W90" s="56"/>
      <c r="X90" s="58"/>
      <c r="Y90" s="27" t="s">
        <v>93</v>
      </c>
      <c r="Z90" s="30"/>
      <c r="AA90" s="30"/>
      <c r="AB90" s="30"/>
      <c r="AC90" s="30"/>
      <c r="AD90" s="30"/>
      <c r="AE90" s="27" t="s">
        <v>302</v>
      </c>
      <c r="AF90" s="58"/>
      <c r="AG90" s="504"/>
      <c r="AH90" s="30"/>
      <c r="AI90" s="30"/>
      <c r="AJ90" s="504"/>
      <c r="AK90" s="504"/>
      <c r="AL90" s="342"/>
      <c r="AM90" s="27" t="s">
        <v>308</v>
      </c>
      <c r="AN90" s="505"/>
      <c r="AO90" s="505"/>
      <c r="AP90" s="30"/>
      <c r="AQ90" s="30"/>
      <c r="AR90" s="30"/>
      <c r="AS90" s="30"/>
      <c r="AT90" s="30"/>
      <c r="AU90" s="30"/>
      <c r="AV90" s="27" t="s">
        <v>315</v>
      </c>
      <c r="AW90" s="30"/>
      <c r="AX90" s="492"/>
      <c r="AY90" s="30"/>
      <c r="AZ90" s="30"/>
      <c r="BA90" s="30"/>
      <c r="BB90" s="27" t="s">
        <v>219</v>
      </c>
      <c r="BC90" s="30"/>
      <c r="BD90" s="30"/>
      <c r="BE90" s="30"/>
      <c r="BF90" s="30"/>
      <c r="BG90" s="27"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0"/>
      <c r="BZ90" s="30"/>
    </row>
    <row r="91" spans="1:78" s="142" customFormat="1" ht="5.0999999999999996" customHeight="1" thickBot="1">
      <c r="A91" s="808"/>
      <c r="B91" s="166"/>
      <c r="C91" s="166"/>
      <c r="D91" s="166"/>
      <c r="E91" s="166"/>
      <c r="F91" s="166"/>
      <c r="G91" s="166"/>
      <c r="M91" s="143"/>
      <c r="N91" s="143"/>
      <c r="O91" s="733"/>
      <c r="P91" s="33"/>
      <c r="Q91" s="33"/>
      <c r="R91" s="33"/>
      <c r="S91" s="23"/>
      <c r="T91" s="23"/>
      <c r="U91" s="23"/>
      <c r="V91" s="78"/>
      <c r="W91" s="30"/>
      <c r="X91" s="30"/>
      <c r="Y91" s="494"/>
      <c r="Z91" s="30"/>
      <c r="AA91" s="30"/>
      <c r="AB91" s="30"/>
      <c r="AC91" s="30"/>
      <c r="AD91" s="30"/>
      <c r="AE91" s="30"/>
      <c r="AF91" s="58"/>
      <c r="AG91" s="30"/>
      <c r="AH91" s="30"/>
      <c r="AI91" s="30"/>
      <c r="AJ91" s="504"/>
      <c r="AK91" s="504"/>
      <c r="AL91" s="342"/>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c r="A92" s="808"/>
      <c r="B92" s="166"/>
      <c r="C92" s="166"/>
      <c r="D92" s="166"/>
      <c r="E92" s="1550" t="str">
        <f>IF(E89="","",IF(T90=TRUE,HYPERLINK("#JUMP_14",EUconst_MsgGoOnPFC),HYPERLINK("#JUMP_E_8",EUconst_FurtherGuidancePoint1)))</f>
        <v xml:space="preserve">Išsamios duomenų įvedimo naudojantis šia priemone instrukcijos pateiktos šio lapo viršuje. </v>
      </c>
      <c r="F92" s="1550"/>
      <c r="G92" s="1550"/>
      <c r="H92" s="1550"/>
      <c r="I92" s="1550"/>
      <c r="J92" s="1550"/>
      <c r="K92" s="1550"/>
      <c r="L92" s="1550"/>
      <c r="M92" s="1550"/>
      <c r="N92" s="143"/>
      <c r="O92" s="733"/>
      <c r="P92" s="33"/>
      <c r="Q92" s="352" t="str">
        <f>EUconst_SumNonSustBioCO2 &amp; "_" &amp; K89</f>
        <v>SUM_bioNonSustCO2_Degimas</v>
      </c>
      <c r="R92" s="707">
        <f>IF(OR(K89="",T90=TRUE),"",ROUND(INDEX(BC101:BE101,MATCH(K89,BC99:BE99,0)),0))</f>
        <v>0</v>
      </c>
      <c r="S92" s="23"/>
      <c r="T92" s="23"/>
      <c r="U92" s="23"/>
      <c r="V92" s="30"/>
      <c r="W92" s="30"/>
      <c r="X92" s="30"/>
      <c r="Y92" s="58"/>
      <c r="Z92" s="30"/>
      <c r="AA92" s="30"/>
      <c r="AB92" s="30"/>
      <c r="AC92" s="30"/>
      <c r="AD92" s="30"/>
      <c r="AE92" s="30"/>
      <c r="AF92" s="58"/>
      <c r="AG92" s="30"/>
      <c r="AH92" s="30"/>
      <c r="AI92" s="30"/>
      <c r="AJ92" s="504"/>
      <c r="AK92" s="504"/>
      <c r="AL92" s="342"/>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c r="A93" s="808"/>
      <c r="B93" s="166"/>
      <c r="C93" s="166"/>
      <c r="D93" s="166"/>
      <c r="E93" s="166"/>
      <c r="F93" s="166"/>
      <c r="G93" s="166"/>
      <c r="M93" s="143"/>
      <c r="N93" s="143"/>
      <c r="O93" s="733"/>
      <c r="P93" s="23"/>
      <c r="Q93" s="23"/>
      <c r="R93" s="23"/>
      <c r="S93" s="23"/>
      <c r="T93" s="23"/>
      <c r="U93" s="23"/>
      <c r="V93" s="30"/>
      <c r="W93" s="30"/>
      <c r="X93" s="30"/>
      <c r="Y93" s="494"/>
      <c r="Z93" s="30"/>
      <c r="AA93" s="30"/>
      <c r="AB93" s="30"/>
      <c r="AC93" s="30"/>
      <c r="AD93" s="30"/>
      <c r="AE93" s="30"/>
      <c r="AF93" s="58"/>
      <c r="AG93" s="30"/>
      <c r="AH93" s="30"/>
      <c r="AI93" s="30"/>
      <c r="AJ93" s="504"/>
      <c r="AK93" s="504"/>
      <c r="AL93" s="342"/>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c r="A94" s="808"/>
      <c r="B94" s="166"/>
      <c r="C94" s="814" t="s">
        <v>4</v>
      </c>
      <c r="D94" s="512" t="str">
        <f>Translations!$B$622</f>
        <v>VD:</v>
      </c>
      <c r="E94" s="1560" t="str">
        <f>Translations!$B$667</f>
        <v>Ar veiklos duomenys gaunami sudedant išmatuotus kiekius (t. y. ne atliekant nuolatinius matavimus)?</v>
      </c>
      <c r="F94" s="1560"/>
      <c r="G94" s="1560"/>
      <c r="H94" s="1560"/>
      <c r="I94" s="1560"/>
      <c r="J94" s="1560"/>
      <c r="K94" s="1560"/>
      <c r="L94" s="1179" t="b">
        <v>1</v>
      </c>
      <c r="M94" s="507"/>
      <c r="O94" s="733"/>
      <c r="P94" s="23"/>
      <c r="Q94" s="23"/>
      <c r="R94" s="23"/>
      <c r="S94" s="23"/>
      <c r="T94" s="23"/>
      <c r="U94" s="23"/>
      <c r="V94" s="30"/>
      <c r="W94" s="30"/>
      <c r="X94" s="30"/>
      <c r="Y94" s="494"/>
      <c r="Z94" s="30"/>
      <c r="AA94" s="30"/>
      <c r="AB94" s="30"/>
      <c r="AC94" s="1172" t="b">
        <f>AND(E89&lt;&gt;"",T90&lt;&gt;TRUE)</f>
        <v>1</v>
      </c>
      <c r="AD94" s="30"/>
      <c r="AE94" s="30"/>
      <c r="AF94" s="58"/>
      <c r="AG94" s="30"/>
      <c r="AH94" s="30"/>
      <c r="AI94" s="30"/>
      <c r="AJ94" s="504"/>
      <c r="AK94" s="504"/>
      <c r="AL94" s="342"/>
      <c r="AM94" s="30"/>
      <c r="AN94" s="30"/>
      <c r="AO94" s="30"/>
      <c r="AP94" s="30"/>
      <c r="AQ94" s="30"/>
      <c r="AR94" s="30"/>
      <c r="AS94" s="30"/>
      <c r="AT94" s="1172"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2" t="b">
        <f>OR(CNTR_CalcRelevant=EUconst_NotRelevant,AND(COUNTA(CNTR_ListRelevantSections)&gt;0,OR(T90=TRUE,E89="")))</f>
        <v>0</v>
      </c>
    </row>
    <row r="95" spans="1:78" s="142" customFormat="1" ht="5.0999999999999996" customHeight="1" thickBot="1">
      <c r="A95" s="808"/>
      <c r="B95" s="166"/>
      <c r="C95" s="166"/>
      <c r="D95" s="166"/>
      <c r="E95" s="166"/>
      <c r="F95" s="166"/>
      <c r="G95" s="166"/>
      <c r="H95" s="495"/>
      <c r="I95" s="495"/>
      <c r="J95" s="495"/>
      <c r="K95" s="495"/>
      <c r="L95" s="495"/>
      <c r="M95" s="507"/>
      <c r="O95" s="733"/>
      <c r="P95" s="23"/>
      <c r="Q95" s="23"/>
      <c r="R95" s="23"/>
      <c r="S95" s="23"/>
      <c r="T95" s="23"/>
      <c r="U95" s="23"/>
      <c r="V95" s="30"/>
      <c r="W95" s="30"/>
      <c r="X95" s="30"/>
      <c r="Y95" s="494"/>
      <c r="Z95" s="30"/>
      <c r="AA95" s="30"/>
      <c r="AB95" s="30"/>
      <c r="AC95" s="492"/>
      <c r="AD95" s="30"/>
      <c r="AE95" s="30"/>
      <c r="AF95" s="58"/>
      <c r="AG95" s="30"/>
      <c r="AH95" s="30"/>
      <c r="AI95" s="30"/>
      <c r="AJ95" s="504"/>
      <c r="AK95" s="504"/>
      <c r="AL95" s="342"/>
      <c r="AM95" s="30"/>
      <c r="AN95" s="30"/>
      <c r="AO95" s="30"/>
      <c r="AP95" s="30"/>
      <c r="AQ95" s="30"/>
      <c r="AR95" s="30"/>
      <c r="AS95" s="30"/>
      <c r="AT95" s="492"/>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2"/>
    </row>
    <row r="96" spans="1:78" s="142" customFormat="1" ht="12.75" customHeight="1" thickBot="1">
      <c r="A96" s="808"/>
      <c r="B96" s="166"/>
      <c r="C96" s="814" t="s">
        <v>5</v>
      </c>
      <c r="D96" s="512" t="str">
        <f>Translations!$B$622</f>
        <v>VD:</v>
      </c>
      <c r="E96" s="1162" t="str">
        <f>Translations!$B$668</f>
        <v>Pradinis kiekis:</v>
      </c>
      <c r="F96" s="1180">
        <v>5284.0569999999998</v>
      </c>
      <c r="G96" s="1163" t="str">
        <f>Translations!$B$669</f>
        <v>Galutinis kiekis:</v>
      </c>
      <c r="H96" s="1180">
        <v>5284.0569999999998</v>
      </c>
      <c r="I96" s="1163" t="str">
        <f>Translations!$B$670</f>
        <v>Įsigytas kiekis:</v>
      </c>
      <c r="J96" s="1180">
        <v>0</v>
      </c>
      <c r="K96" s="1163" t="str">
        <f>Translations!$B$671</f>
        <v>Perduotas kiekis:</v>
      </c>
      <c r="L96" s="1180">
        <v>0</v>
      </c>
      <c r="M96" s="1164" t="str">
        <f>IF(AND(L94=TRUE,COUNT(F96,H96,J96,L96)&lt;4),EUconst_ERR_Incomplete,"")</f>
        <v/>
      </c>
      <c r="O96" s="733"/>
      <c r="P96" s="23"/>
      <c r="Q96" s="23"/>
      <c r="R96" s="23"/>
      <c r="S96" s="23"/>
      <c r="T96" s="23"/>
      <c r="U96" s="23"/>
      <c r="V96" s="30"/>
      <c r="W96" s="30"/>
      <c r="X96" s="30"/>
      <c r="Y96" s="494"/>
      <c r="Z96" s="30"/>
      <c r="AA96" s="30"/>
      <c r="AB96" s="30"/>
      <c r="AC96" s="1172" t="b">
        <f>AC94</f>
        <v>1</v>
      </c>
      <c r="AD96" s="30"/>
      <c r="AE96" s="30"/>
      <c r="AF96" s="58"/>
      <c r="AG96" s="30"/>
      <c r="AH96" s="30"/>
      <c r="AI96" s="30"/>
      <c r="AJ96" s="504"/>
      <c r="AK96" s="504"/>
      <c r="AL96" s="342"/>
      <c r="AM96" s="30"/>
      <c r="AN96" s="30"/>
      <c r="AO96" s="30"/>
      <c r="AP96" s="30"/>
      <c r="AQ96" s="30"/>
      <c r="AR96" s="30"/>
      <c r="AS96" s="30"/>
      <c r="AT96" s="1172"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2" t="b">
        <f>OR(BZ94,AND(NOT(ISBLANK(L94)),L94=FALSE))</f>
        <v>0</v>
      </c>
    </row>
    <row r="97" spans="1:78" s="142" customFormat="1" ht="5.0999999999999996" customHeight="1" thickBot="1">
      <c r="A97" s="808"/>
      <c r="B97" s="166"/>
      <c r="C97" s="166"/>
      <c r="D97" s="166"/>
      <c r="E97" s="166"/>
      <c r="F97" s="166"/>
      <c r="G97" s="166"/>
      <c r="M97" s="143"/>
      <c r="N97" s="143"/>
      <c r="O97" s="733"/>
      <c r="P97" s="23"/>
      <c r="Q97" s="23"/>
      <c r="R97" s="23"/>
      <c r="S97" s="23"/>
      <c r="T97" s="23"/>
      <c r="U97" s="23"/>
      <c r="V97" s="30"/>
      <c r="W97" s="30"/>
      <c r="X97" s="30"/>
      <c r="Y97" s="494"/>
      <c r="Z97" s="30"/>
      <c r="AA97" s="30"/>
      <c r="AB97" s="30"/>
      <c r="AC97" s="30"/>
      <c r="AD97" s="30"/>
      <c r="AE97" s="30"/>
      <c r="AF97" s="58"/>
      <c r="AG97" s="30"/>
      <c r="AH97" s="30"/>
      <c r="AI97" s="30"/>
      <c r="AJ97" s="504"/>
      <c r="AK97" s="504"/>
      <c r="AL97" s="342"/>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c r="A98" s="808"/>
      <c r="B98" s="166"/>
      <c r="C98" s="166"/>
      <c r="D98" s="166"/>
      <c r="E98" s="166"/>
      <c r="F98" s="506" t="str">
        <f>Translations!$B$333</f>
        <v>Pakopa</v>
      </c>
      <c r="G98" s="1557" t="str">
        <f>Translations!$B$672</f>
        <v>pakopos aprašas</v>
      </c>
      <c r="H98" s="1557"/>
      <c r="I98" s="1555" t="str">
        <f>Translations!$B$158</f>
        <v>Vienetas</v>
      </c>
      <c r="J98" s="1555"/>
      <c r="K98" s="1555" t="str">
        <f>Translations!$B$673</f>
        <v>Vertė</v>
      </c>
      <c r="L98" s="1555"/>
      <c r="M98" s="507" t="str">
        <f>Translations!$B$610</f>
        <v>klaida</v>
      </c>
      <c r="O98" s="733"/>
      <c r="P98" s="508"/>
      <c r="Q98" s="352" t="str">
        <f>EUconst_SumEnergyIN &amp; "_" &amp; K89</f>
        <v>SUM_EnergyIN_Degimas</v>
      </c>
      <c r="R98" s="399">
        <f>IF(OR(K89="",T90)=TRUE,"",INDEX(BC104:BE104,MATCH(K89,BC99:BE99,0)))</f>
        <v>0</v>
      </c>
      <c r="S98" s="30"/>
      <c r="T98" s="489"/>
      <c r="U98" s="30"/>
      <c r="V98" s="509" t="s">
        <v>303</v>
      </c>
      <c r="W98" s="30"/>
      <c r="X98" s="30"/>
      <c r="Y98" s="494" t="s">
        <v>566</v>
      </c>
      <c r="Z98" s="494" t="s">
        <v>318</v>
      </c>
      <c r="AA98" s="30"/>
      <c r="AB98" s="30"/>
      <c r="AC98" s="505" t="s">
        <v>309</v>
      </c>
      <c r="AD98" s="30"/>
      <c r="AE98" s="30"/>
      <c r="AF98" s="492" t="s">
        <v>305</v>
      </c>
      <c r="AG98" s="492" t="s">
        <v>306</v>
      </c>
      <c r="AH98" s="494" t="s">
        <v>304</v>
      </c>
      <c r="AI98" s="504" t="s">
        <v>307</v>
      </c>
      <c r="AJ98" s="504" t="s">
        <v>567</v>
      </c>
      <c r="AK98" s="510" t="s">
        <v>311</v>
      </c>
      <c r="AL98" s="342"/>
      <c r="AM98" s="30"/>
      <c r="AN98" s="492" t="s">
        <v>305</v>
      </c>
      <c r="AO98" s="492" t="s">
        <v>306</v>
      </c>
      <c r="AP98" s="511" t="s">
        <v>310</v>
      </c>
      <c r="AQ98" s="504" t="s">
        <v>569</v>
      </c>
      <c r="AR98" s="504" t="s">
        <v>568</v>
      </c>
      <c r="AS98" s="510" t="s">
        <v>311</v>
      </c>
      <c r="AT98" s="510" t="s">
        <v>311</v>
      </c>
      <c r="AU98" s="30"/>
      <c r="AV98" s="492"/>
      <c r="AW98" s="492"/>
      <c r="AX98" s="492" t="s">
        <v>321</v>
      </c>
      <c r="AY98" s="492"/>
      <c r="AZ98" s="492"/>
      <c r="BA98" s="492"/>
      <c r="BB98" s="492"/>
      <c r="BC98" s="492"/>
      <c r="BD98" s="492"/>
      <c r="BE98" s="30"/>
      <c r="BF98" s="30"/>
      <c r="BG98" s="30"/>
      <c r="BH98" s="30"/>
      <c r="BI98" s="30"/>
      <c r="BJ98" s="30"/>
      <c r="BK98" s="30"/>
      <c r="BL98" s="30"/>
      <c r="BM98" s="30"/>
      <c r="BN98" s="30"/>
      <c r="BO98" s="30"/>
      <c r="BP98" s="30"/>
      <c r="BQ98" s="30"/>
      <c r="BR98" s="30"/>
      <c r="BS98" s="30"/>
      <c r="BT98" s="30"/>
      <c r="BU98" s="30"/>
      <c r="BV98" s="30"/>
      <c r="BW98" s="30"/>
      <c r="BX98" s="30"/>
      <c r="BY98" s="30"/>
      <c r="BZ98" s="493" t="s">
        <v>262</v>
      </c>
    </row>
    <row r="99" spans="1:78" s="142" customFormat="1" ht="12.75" customHeight="1" thickBot="1">
      <c r="A99" s="808"/>
      <c r="B99" s="166"/>
      <c r="C99" s="777" t="s">
        <v>196</v>
      </c>
      <c r="D99" s="512" t="str">
        <f>Translations!$B$622</f>
        <v>VD:</v>
      </c>
      <c r="E99" s="513"/>
      <c r="F99" s="402">
        <v>4</v>
      </c>
      <c r="G99" s="1532" t="str">
        <f>IF(OR(ISBLANK(F99),F99=EUconst_NoTier),"",IF(Z99=0,EUconst_NA,IF(ISERROR(Z99),"",Z99)))</f>
        <v>± 1,5%</v>
      </c>
      <c r="H99" s="1533"/>
      <c r="I99" s="1165" t="str">
        <f>IF(J99&lt;&gt;"","",AI99)</f>
        <v/>
      </c>
      <c r="J99" s="1166" t="s">
        <v>280</v>
      </c>
      <c r="K99" s="1173" t="str">
        <f>IF(L99="",AQ99,"")</f>
        <v/>
      </c>
      <c r="L99" s="1256">
        <v>0</v>
      </c>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0"/>
      <c r="T99" s="514" t="str">
        <f>EUconst_CNTR_ActivityData&amp;E90</f>
        <v>ActivityData_Degimas: Kitas dujinis ir skystasis kuras</v>
      </c>
      <c r="U99" s="497"/>
      <c r="V99" s="514" t="str">
        <f>IF(E89="","",INDEX(B_InstallationDescription!$I$71:$I$145,MATCH(U88,B_InstallationDescription!$D$71:$D$145,0)))</f>
        <v>Skystasis – Dujos ir (arba) dyzelinas</v>
      </c>
      <c r="W99" s="504" t="s">
        <v>539</v>
      </c>
      <c r="X99" s="497"/>
      <c r="Y99" s="515">
        <f>IF(OR(T90=TRUE,E90=""),"",INDEX(EUwideConstants!$N:$N,MATCH(T99,EUwideConstants!$Q:$Q,0)))</f>
        <v>4</v>
      </c>
      <c r="Z99" s="516" t="str">
        <f>IF(ISBLANK(F99),"",IF(F99=EUconst_NA,"",INDEX(EUwideConstants!$H:$M,MATCH(T99,EUwideConstants!$Q:$Q,0),MATCH(F99,CNTR_TierList,0))))</f>
        <v>± 1,5%</v>
      </c>
      <c r="AA99" s="517" t="s">
        <v>304</v>
      </c>
      <c r="AB99" s="504"/>
      <c r="AC99" s="518" t="b">
        <f>AC94</f>
        <v>1</v>
      </c>
      <c r="AD99" s="30"/>
      <c r="AE99" s="519" t="str">
        <f>EUconst_CNTR_ActivityData&amp;EUconst_Unit</f>
        <v>ActivityData_Vienetas</v>
      </c>
      <c r="AF99" s="520" t="str">
        <f>IF(AC99=TRUE, IF(COUNTIF(MSPara_SourceStreamCategory,V99)=0,"",INDEX(MSPara_CalcFactorsMatrix,MATCH(V99,MSPara_SourceStreamCategory,0),MATCH(AE99&amp;"_"&amp;2,MSPara_CalcFactors,0))),"")</f>
        <v>netaik.</v>
      </c>
      <c r="AG99" s="521" t="str">
        <f>IF(AC99=TRUE, IF(COUNTIF(MSPara_SourceStreamCategory,V99)=0,"",INDEX(MSPara_CalcFactorsMatrix,MATCH(V99,MSPara_SourceStreamCategory,0),MATCH(AE99&amp;"_"&amp;1,MSPara_CalcFactors,0))),"")</f>
        <v>t</v>
      </c>
      <c r="AH99" s="518" t="str">
        <f>IF(OR(AF99="",AF99=EUconst_NA),IF(OR(AG99=EUconst_NA,AG99=""),"",AG99),AF99)</f>
        <v>t</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1</v>
      </c>
      <c r="AQ99" s="619">
        <f>IF(L94=TRUE,SUM(F96)-SUM(H96)+SUM(J96)-SUM(L96),"")</f>
        <v>0</v>
      </c>
      <c r="AR99" s="518">
        <f>IF(Y99=EUconst_NA,0,IF(COUNT(K99:L99)=0,0,IF(L99="",K99,L99)))</f>
        <v>0</v>
      </c>
      <c r="AS99" s="1172" t="b">
        <f>AND(AC99=TRUE,OR(L99&lt;&gt;"",AQ99=""))</f>
        <v>1</v>
      </c>
      <c r="AT99" s="1172" t="b">
        <f>AND(AC99=TRUE,NOT(AS99))</f>
        <v>0</v>
      </c>
      <c r="AU99" s="30"/>
      <c r="AV99" s="492" t="s">
        <v>314</v>
      </c>
      <c r="AW99" s="492" t="s">
        <v>319</v>
      </c>
      <c r="AX99" s="524"/>
      <c r="AY99" s="30" t="s">
        <v>542</v>
      </c>
      <c r="AZ99" s="30"/>
      <c r="BA99" s="30"/>
      <c r="BB99" s="504"/>
      <c r="BC99" s="493" t="str">
        <f>EUconst_Fuel</f>
        <v>Degimas</v>
      </c>
      <c r="BD99" s="493" t="str">
        <f>EUconst_ProcessCarbonate</f>
        <v>Proceso metu išsiskiriančios ŠESD</v>
      </c>
      <c r="BE99" s="493"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4" t="b">
        <f>BZ94</f>
        <v>0</v>
      </c>
    </row>
    <row r="100" spans="1:78" s="142" customFormat="1" ht="5.0999999999999996" customHeight="1" thickBot="1">
      <c r="A100" s="808"/>
      <c r="B100" s="166"/>
      <c r="C100" s="814"/>
      <c r="D100" s="306"/>
      <c r="F100" s="143"/>
      <c r="G100" s="143"/>
      <c r="H100" s="143" t="s">
        <v>236</v>
      </c>
      <c r="I100" s="525"/>
      <c r="J100" s="525"/>
      <c r="K100" s="143"/>
      <c r="L100" s="143"/>
      <c r="M100" s="710"/>
      <c r="O100" s="733"/>
      <c r="P100" s="33"/>
      <c r="Q100" s="33"/>
      <c r="R100" s="33"/>
      <c r="S100" s="30"/>
      <c r="T100" s="155"/>
      <c r="U100" s="497"/>
      <c r="V100" s="30"/>
      <c r="W100" s="30"/>
      <c r="X100" s="497"/>
      <c r="Y100" s="526"/>
      <c r="Z100" s="30"/>
      <c r="AA100" s="30"/>
      <c r="AB100" s="30"/>
      <c r="AC100" s="30"/>
      <c r="AD100" s="30"/>
      <c r="AE100" s="30"/>
      <c r="AF100" s="30"/>
      <c r="AG100" s="30"/>
      <c r="AH100" s="30"/>
      <c r="AI100" s="30"/>
      <c r="AJ100" s="30"/>
      <c r="AK100" s="30"/>
      <c r="AL100" s="342"/>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3"/>
    </row>
    <row r="101" spans="1:78" s="142" customFormat="1" ht="12.75" customHeight="1" thickBot="1">
      <c r="A101" s="808"/>
      <c r="B101" s="166"/>
      <c r="C101" s="814" t="s">
        <v>197</v>
      </c>
      <c r="D101" s="512" t="str">
        <f>Translations!$B$634</f>
        <v>(prelim.) ITF:</v>
      </c>
      <c r="E101" s="513"/>
      <c r="F101" s="527" t="s">
        <v>265</v>
      </c>
      <c r="G101" s="1532" t="str">
        <f t="shared" ref="G101:G107" si="7">IF(OR(ISBLANK(F101),F101=EUconst_NoTier),"",IF(Z101=0,EUconst_NotApplicable,IF(ISERROR(Z101),"",Z101)))</f>
        <v>II tipas</v>
      </c>
      <c r="H101" s="1556"/>
      <c r="I101" s="1167" t="str">
        <f>IF(J101&lt;&gt;"","",AI101)</f>
        <v>tCO2/TJ</v>
      </c>
      <c r="J101" s="1168"/>
      <c r="K101" s="528" t="str">
        <f t="shared" ref="K101:K107" si="8">IF(L101="",AQ101,"")</f>
        <v/>
      </c>
      <c r="L101" s="529">
        <v>72.89</v>
      </c>
      <c r="M101" s="709" t="str">
        <f>IF(AND(E90&lt;&gt;"",OR(F101="",COUNT(K101:L101)=0),Y101&lt;&gt;EUconst_NA,T90&lt;&gt;TRUE),EUconst_ERR_Incomplete,IF(COUNTIF(AX101:AZ101,TRUE)&gt;0,EUconst_ERR_Inconsistent,""))</f>
        <v/>
      </c>
      <c r="N101" s="495"/>
      <c r="O101" s="733"/>
      <c r="P101" s="33"/>
      <c r="Q101" s="33"/>
      <c r="R101" s="33"/>
      <c r="S101" s="30"/>
      <c r="T101" s="530" t="str">
        <f>EUconst_CNTR_EF&amp;E90</f>
        <v>EF_Degimas: Kitas dujinis ir skystasis kuras</v>
      </c>
      <c r="U101" s="497"/>
      <c r="V101" s="531" t="str">
        <f>V99</f>
        <v>Skystasis – Dujos ir (arba) dyzelinas</v>
      </c>
      <c r="W101" s="30"/>
      <c r="X101" s="497"/>
      <c r="Y101" s="532">
        <f>IF(OR(T90=TRUE,E90=""),"",IF(F101=EUconst_NA,EUconst_NA,INDEX(EUwideConstants!$N:$N,MATCH(T101,EUwideConstants!$Q:$Q,0))))</f>
        <v>3</v>
      </c>
      <c r="Z101" s="533" t="str">
        <f>IF(ISBLANK(F101),"",IF(F101=EUconst_NA,"",INDEX(EUwideConstants!$H:$M,MATCH(T101,EUwideConstants!$Q:$Q,0),MATCH(F101,CNTR_TierList,0))))</f>
        <v>II tipas</v>
      </c>
      <c r="AA101" s="534">
        <f>IF(COUNTIF(EUconst_DefaultValues,Z101)&gt;0,MATCH(Z101,EUconst_DefaultValues,0),"")</f>
        <v>2</v>
      </c>
      <c r="AB101" s="30"/>
      <c r="AC101" s="535" t="b">
        <f>AND(AC99,Y101&lt;&gt;EUconst_NA)</f>
        <v>1</v>
      </c>
      <c r="AD101" s="30"/>
      <c r="AE101" s="519" t="str">
        <f>EUconst_CNTR_EF&amp;EUconst_Unit</f>
        <v>EF_Vienetas</v>
      </c>
      <c r="AF101" s="536" t="str">
        <f>IF(AC101=TRUE, IF(COUNTIF(MSPara_SourceStreamCategory,V101)=0,"",INDEX(MSPara_CalcFactorsMatrix,MATCH(V101,MSPara_SourceStreamCategory,0),MATCH(AE101&amp;"_"&amp;2,MSPara_CalcFactors,0))),"")</f>
        <v>tCO2/TJ</v>
      </c>
      <c r="AG101" s="537" t="str">
        <f>IF(AC101=TRUE, IF(COUNTIF(MSPara_SourceStreamCategory,V101)=0,"",INDEX(MSPara_CalcFactorsMatrix,MATCH(V101,MSPara_SourceStreamCategory,0),MATCH(AE101&amp;"_"&amp;1,MSPara_CalcFactors,0))),"")</f>
        <v>tCO2/TJ</v>
      </c>
      <c r="AH101" s="538" t="str">
        <f>IF(AA101="","",INDEX(AF101:AG101,3-AA101))</f>
        <v>tCO2/TJ</v>
      </c>
      <c r="AI101" s="539" t="str">
        <f>IF(AC101=TRUE,IF(OR(AH101="",AH101=EUconst_NA),IF(K89=EUconst_Fuel,EUconst_tCO2pTJ,EUconst_tCO2pt),AH101),"")</f>
        <v>tCO2/TJ</v>
      </c>
      <c r="AJ101" s="535" t="str">
        <f>IF(J101="",AI101,J101)</f>
        <v>tCO2/TJ</v>
      </c>
      <c r="AK101" s="540" t="b">
        <f>IF(K89=EUconst_Fuel,J101&lt;&gt;"",FALSE)</f>
        <v>0</v>
      </c>
      <c r="AL101" s="342"/>
      <c r="AM101" s="519" t="str">
        <f>EUconst_CNTR_EF&amp;EUconst_Value</f>
        <v>EF_Vertė</v>
      </c>
      <c r="AN101" s="541" t="str">
        <f>IF(AC101=TRUE,IF(COUNTIF(MSPara_SourceStreamCategory,V101)=0,"",INDEX(MSPara_CalcFactorsMatrix,MATCH(V101,MSPara_SourceStreamCategory,0),MATCH(AM101&amp;"_"&amp;2,MSPara_CalcFactors,0))),"")</f>
        <v>netaik.</v>
      </c>
      <c r="AO101" s="542">
        <f>IF(AC101=TRUE,IF(COUNTIF(MSPara_SourceStreamCategory,V101)=0,"",INDEX(MSPara_CalcFactorsMatrix,MATCH(V101,MSPara_SourceStreamCategory,0),MATCH(AM101&amp;"_"&amp;1,MSPara_CalcFactors,0))),"")</f>
        <v>74.099999999999994</v>
      </c>
      <c r="AP101" s="535" t="b">
        <f>AND(AND(AH101&lt;&gt;"",AJ101&lt;&gt;""),AJ101=AH101)</f>
        <v>1</v>
      </c>
      <c r="AQ101" s="543" t="str">
        <f>IF(AND(AA101&lt;&gt;"",AP101=TRUE),IF(OR(INDEX(AN101:AO101,3-AA101)=EUconst_NA,INDEX(AN101:AO101,3-AA101)=0),"",INDEX(AN101:AO101,3-AA101)),"")</f>
        <v/>
      </c>
      <c r="AR101" s="535">
        <f>IF(AC101=TRUE,IF(COUNT(K101:L101)=0,0,IF(L101="",K101,L101)),0)</f>
        <v>72.89</v>
      </c>
      <c r="AS101" s="531" t="b">
        <f>AND(AC101=TRUE,OR(AND(F101&lt;&gt;"",NOT(ISNUMBER(AA101))),L101&lt;&gt;"",F101="",AQ101=""))</f>
        <v>1</v>
      </c>
      <c r="AT101" s="531" t="b">
        <f t="shared" ref="AT101:AT107" si="9">AND(AC101=TRUE,NOT(AS101))</f>
        <v>0</v>
      </c>
      <c r="AU101" s="30"/>
      <c r="AV101" s="544" t="b">
        <f t="shared" ref="AV101:AV107" si="10">AND(ISNUMBER(AA101),AQ101="")</f>
        <v>1</v>
      </c>
      <c r="AW101" s="545" t="b">
        <f t="shared" ref="AW101:AW107" si="11">AND(ISNUMBER(AA101),AQ101&lt;&gt;AR101)</f>
        <v>1</v>
      </c>
      <c r="AX101" s="546" t="b">
        <f>OR(AND(AJ99=EUconst_kNm3,AJ101=EUconst_tCO2pt),AND(AJ99=EUconst_t,AJ101=EUconst_tCO2pkNm3))</f>
        <v>0</v>
      </c>
      <c r="AY101" s="531" t="b">
        <f t="shared" ref="AY101:AY107" si="12">AND(L101&lt;&gt;"",Y101=EUconst_NA)</f>
        <v>0</v>
      </c>
      <c r="AZ101" s="30"/>
      <c r="BA101" s="30"/>
      <c r="BB101" s="547" t="s">
        <v>594</v>
      </c>
      <c r="BC101" s="546">
        <f>IF(K89=BC99,AR99*IF(AJ101=EUconst_tCO2pTJ,(AR102/1000),1)*AR101*AR103*AR107,"")</f>
        <v>0</v>
      </c>
      <c r="BD101" s="524" t="str">
        <f>IF(K89=BD99,AR99*AR101*AR104*AR107,"")</f>
        <v/>
      </c>
      <c r="BE101" s="523"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1" t="b">
        <f>OR(BZ99,Y101=EUconst_NA)</f>
        <v>0</v>
      </c>
    </row>
    <row r="102" spans="1:78" s="142" customFormat="1" ht="12.75" customHeight="1" thickBot="1">
      <c r="A102" s="808"/>
      <c r="B102" s="166"/>
      <c r="C102" s="814" t="s">
        <v>198</v>
      </c>
      <c r="D102" s="512" t="str">
        <f>Translations!$B$636</f>
        <v>GŠV:</v>
      </c>
      <c r="E102" s="513"/>
      <c r="F102" s="548" t="s">
        <v>265</v>
      </c>
      <c r="G102" s="1532" t="str">
        <f t="shared" si="7"/>
        <v>II tipas</v>
      </c>
      <c r="H102" s="1533"/>
      <c r="I102" s="1169" t="str">
        <f>AJ102</f>
        <v>GJ/t</v>
      </c>
      <c r="J102" s="549"/>
      <c r="K102" s="550" t="str">
        <f t="shared" si="8"/>
        <v/>
      </c>
      <c r="L102" s="551">
        <v>43.07</v>
      </c>
      <c r="M102" s="709" t="str">
        <f>IF(AND(E90&lt;&gt;"",OR(F102="",COUNT(K102:L102)=0),Y102&lt;&gt;EUconst_NA,T90&lt;&gt;TRUE),EUconst_ERR_Incomplete,IF(COUNTIF(AX102:AZ102,TRUE)&gt;0,EUconst_ERR_Inconsistent,""))</f>
        <v/>
      </c>
      <c r="O102" s="733"/>
      <c r="P102" s="33"/>
      <c r="Q102" s="33"/>
      <c r="R102" s="33"/>
      <c r="S102" s="30"/>
      <c r="T102" s="552" t="str">
        <f>EUconst_CNTR_NCV&amp;E90</f>
        <v>NCV_Degimas: Kitas dujinis ir skystasis kuras</v>
      </c>
      <c r="U102" s="497"/>
      <c r="V102" s="553" t="str">
        <f t="shared" ref="V102:V107" si="13">V101</f>
        <v>Skystasis – Dujos ir (arba) dyzelinas</v>
      </c>
      <c r="W102" s="30"/>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0"/>
      <c r="AC102" s="557" t="b">
        <f>AND(AC99,Y102&lt;&gt;EUconst_NA)</f>
        <v>1</v>
      </c>
      <c r="AD102" s="30"/>
      <c r="AE102" s="558" t="str">
        <f>EUconst_CNTR_NCV&amp;EUconst_Unit</f>
        <v>NCV_Vienetas</v>
      </c>
      <c r="AF102" s="559" t="str">
        <f>IF(AC102=TRUE, IF(COUNTIF(MSPara_SourceStreamCategory,V102)=0,"",INDEX(MSPara_CalcFactorsMatrix,MATCH(V102,MSPara_SourceStreamCategory,0),MATCH(AE102&amp;"_"&amp;2,MSPara_CalcFactors,0))),"")</f>
        <v>netaik.</v>
      </c>
      <c r="AG102" s="560" t="str">
        <f>IF(AC102=TRUE, IF(COUNTIF(MSPara_SourceStreamCategory,V102)=0,"",INDEX(MSPara_CalcFactorsMatrix,MATCH(V102,MSPara_SourceStreamCategory,0),MATCH(AE102&amp;"_"&amp;1,MSPara_CalcFactors,0))),"")</f>
        <v>GJ/t</v>
      </c>
      <c r="AH102" s="561" t="str">
        <f>IF(AA102="","",INDEX(AF102:AG102,3-AA102))</f>
        <v>netaik.</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netaik.</v>
      </c>
      <c r="AO102" s="565">
        <f>IF(AC102=TRUE,IF(COUNTIF(MSPara_SourceStreamCategory,V102)=0,"",INDEX(MSPara_CalcFactorsMatrix,MATCH(V102,MSPara_SourceStreamCategory,0),MATCH(AM102&amp;"_"&amp;1,MSPara_CalcFactors,0))),"")</f>
        <v>43</v>
      </c>
      <c r="AP102" s="557" t="b">
        <f>AND(AND(AH102&lt;&gt;"",AJ102&lt;&gt;""),AJ102=AH102)</f>
        <v>0</v>
      </c>
      <c r="AQ102" s="566" t="str">
        <f>IF(AND(AA102&lt;&gt;"",AP102=TRUE),IF(OR(INDEX(AN102:AO102,3-AA102)=EUconst_NA,INDEX(AN102:AO102,3-AA102)=0),"",INDEX(AN102:AO102,3-AA102)),"")</f>
        <v/>
      </c>
      <c r="AR102" s="557">
        <f>IF(AC102=TRUE,IF(COUNT(K102:L102)=0,0,IF(L102="",K102,L102)),0)</f>
        <v>43.07</v>
      </c>
      <c r="AS102" s="553" t="b">
        <f>AND(AC102=TRUE,OR(AND(F102&lt;&gt;"",NOT(ISNUMBER(AA102))),L102&lt;&gt;"",F102="",AQ102=""))</f>
        <v>1</v>
      </c>
      <c r="AT102" s="553" t="b">
        <f t="shared" si="9"/>
        <v>0</v>
      </c>
      <c r="AU102" s="30"/>
      <c r="AV102" s="567" t="b">
        <f t="shared" si="10"/>
        <v>1</v>
      </c>
      <c r="AW102" s="568" t="b">
        <f t="shared" si="11"/>
        <v>1</v>
      </c>
      <c r="AX102" s="30"/>
      <c r="AY102" s="553" t="b">
        <f t="shared" si="12"/>
        <v>0</v>
      </c>
      <c r="AZ102" s="30"/>
      <c r="BA102" s="30"/>
      <c r="BB102" s="547" t="s">
        <v>595</v>
      </c>
      <c r="BC102" s="546">
        <f>IF(K89=BC99,AR99*IF(AJ101=EUconst_tCO2pTJ,(AR102/1000),1)*AR101*AR103*AR106,"")</f>
        <v>0</v>
      </c>
      <c r="BD102" s="524" t="str">
        <f>IF(K89=BD99,AR99*AR101*AR104*AR106,"")</f>
        <v/>
      </c>
      <c r="BE102" s="523"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3" t="b">
        <f>OR(BZ99,Y102=EUconst_NA)</f>
        <v>0</v>
      </c>
    </row>
    <row r="103" spans="1:78" s="142" customFormat="1" ht="12.75" customHeight="1" thickBot="1">
      <c r="A103" s="808"/>
      <c r="B103" s="166"/>
      <c r="C103" s="814" t="s">
        <v>199</v>
      </c>
      <c r="D103" s="512" t="str">
        <f>Translations!$B$638</f>
        <v>OksK:</v>
      </c>
      <c r="E103" s="513"/>
      <c r="F103" s="548">
        <v>1</v>
      </c>
      <c r="G103" s="1532" t="str">
        <f t="shared" si="7"/>
        <v>OksK = 1</v>
      </c>
      <c r="H103" s="1533"/>
      <c r="I103" s="1170" t="str">
        <f>IF(OR(AC103=FALSE,Y103=EUconst_NA),"","-")</f>
        <v>-</v>
      </c>
      <c r="J103" s="569"/>
      <c r="K103" s="570" t="str">
        <f t="shared" si="8"/>
        <v/>
      </c>
      <c r="L103" s="703">
        <v>1</v>
      </c>
      <c r="M103" s="709" t="str">
        <f>IF(AND(E90&lt;&gt;"",OR(F103="",COUNT(K103:L103)=0),Y103&lt;&gt;EUconst_NA,T90&lt;&gt;TRUE),EUconst_ERR_Incomplete,IF(COUNTIF(AX103:AZ103,TRUE)&gt;0,EUconst_ERR_Inconsistent,""))</f>
        <v/>
      </c>
      <c r="O103" s="733"/>
      <c r="P103" s="33"/>
      <c r="Q103" s="33"/>
      <c r="R103" s="33"/>
      <c r="S103" s="30"/>
      <c r="T103" s="552" t="str">
        <f>EUconst_CNTR_OxidationFactor&amp;E90</f>
        <v>OxF_Degimas: Kitas dujinis ir skystasis kuras</v>
      </c>
      <c r="U103" s="497"/>
      <c r="V103" s="553" t="str">
        <f t="shared" si="13"/>
        <v>Skystasis – Dujos ir (arba) dyzelinas</v>
      </c>
      <c r="W103" s="30"/>
      <c r="X103" s="497"/>
      <c r="Y103" s="554">
        <f>IF(OR(T90=TRUE,E90=""),"",INDEX(EUwideConstants!$N:$N,MATCH(T103,EUwideConstants!$Q:$Q,0)))</f>
        <v>1</v>
      </c>
      <c r="Z103" s="555" t="str">
        <f>IF(ISBLANK(F103),"",IF(F103=EUconst_NA,"",INDEX(EUwideConstants!$H:$M,MATCH(T103,EUwideConstants!$Q:$Q,0),MATCH(F103,CNTR_TierList,0))))</f>
        <v>OksK = 1</v>
      </c>
      <c r="AA103" s="534">
        <f>IF(F103=1,1,"")</f>
        <v>1</v>
      </c>
      <c r="AB103" s="30"/>
      <c r="AC103" s="557" t="b">
        <f>AND(AC99,Y103&lt;&gt;EUconst_NA)</f>
        <v>1</v>
      </c>
      <c r="AD103" s="30"/>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1</v>
      </c>
      <c r="AT103" s="553" t="b">
        <f t="shared" si="9"/>
        <v>0</v>
      </c>
      <c r="AU103" s="30"/>
      <c r="AV103" s="567" t="b">
        <f t="shared" si="10"/>
        <v>0</v>
      </c>
      <c r="AW103" s="568" t="b">
        <f t="shared" si="11"/>
        <v>0</v>
      </c>
      <c r="AX103" s="30"/>
      <c r="AY103" s="594" t="b">
        <f t="shared" si="12"/>
        <v>0</v>
      </c>
      <c r="AZ103" s="531" t="b">
        <f>AR103&gt;100%</f>
        <v>0</v>
      </c>
      <c r="BA103" s="30"/>
      <c r="BB103" s="547" t="s">
        <v>290</v>
      </c>
      <c r="BC103" s="546">
        <f>IF(K89=BC99,AR99*IF(AJ101=EUconst_tCO2pTJ,(AR102/1000),1)*AR101*AR103*(1-AR106),"")</f>
        <v>0</v>
      </c>
      <c r="BD103" s="524" t="str">
        <f>IF(K89=BD99,AR99*AR101*AR104*(1-AR106),"")</f>
        <v/>
      </c>
      <c r="BE103" s="523"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3" t="b">
        <f>OR(BZ99,Y103=EUconst_NA)</f>
        <v>0</v>
      </c>
    </row>
    <row r="104" spans="1:78" s="142" customFormat="1" ht="12.75" customHeight="1" thickBot="1">
      <c r="A104" s="808"/>
      <c r="B104" s="166"/>
      <c r="C104" s="814" t="s">
        <v>200</v>
      </c>
      <c r="D104" s="512" t="str">
        <f>Translations!$B$639</f>
        <v>KonvK:</v>
      </c>
      <c r="E104" s="513"/>
      <c r="F104" s="548"/>
      <c r="G104" s="1532" t="str">
        <f t="shared" si="7"/>
        <v/>
      </c>
      <c r="H104" s="1533"/>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3"/>
      <c r="Q104" s="33"/>
      <c r="R104" s="33"/>
      <c r="S104" s="30"/>
      <c r="T104" s="552" t="str">
        <f>EUconst_CNTR_ConversionFactor&amp;E90</f>
        <v>ConvF_Degimas: Kitas dujinis ir skystasis kuras</v>
      </c>
      <c r="U104" s="497"/>
      <c r="V104" s="553" t="str">
        <f t="shared" si="13"/>
        <v>Skystasis – Dujos ir (arba) dyzelinas</v>
      </c>
      <c r="W104" s="30"/>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0"/>
      <c r="AC104" s="557" t="b">
        <f>AND(AC99,Y104&lt;&gt;EUconst_NA)</f>
        <v>0</v>
      </c>
      <c r="AD104" s="30"/>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0"/>
      <c r="AV104" s="567" t="b">
        <f t="shared" si="10"/>
        <v>0</v>
      </c>
      <c r="AW104" s="568" t="b">
        <f t="shared" si="11"/>
        <v>0</v>
      </c>
      <c r="AX104" s="30"/>
      <c r="AY104" s="594" t="b">
        <f t="shared" si="12"/>
        <v>0</v>
      </c>
      <c r="AZ104" s="580" t="b">
        <f>AR104&gt;100%</f>
        <v>0</v>
      </c>
      <c r="BA104" s="30"/>
      <c r="BB104" s="578" t="s">
        <v>487</v>
      </c>
      <c r="BC104" s="579">
        <f>AR99*AR102/1000*(1-AR106)</f>
        <v>0</v>
      </c>
      <c r="BD104" s="580">
        <f>BC104</f>
        <v>0</v>
      </c>
      <c r="BE104" s="581">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53" t="b">
        <f>OR(BZ99,Y104=EUconst_NA)</f>
        <v>1</v>
      </c>
    </row>
    <row r="105" spans="1:78" s="142" customFormat="1" ht="12.75" customHeight="1" thickBot="1">
      <c r="A105" s="808"/>
      <c r="B105" s="166"/>
      <c r="C105" s="814" t="s">
        <v>329</v>
      </c>
      <c r="D105" s="512" t="str">
        <f>Translations!$B$640</f>
        <v>AnglK:</v>
      </c>
      <c r="E105" s="513"/>
      <c r="F105" s="548"/>
      <c r="G105" s="1532" t="str">
        <f t="shared" si="7"/>
        <v/>
      </c>
      <c r="H105" s="1533"/>
      <c r="I105" s="1170" t="str">
        <f>AJ105</f>
        <v/>
      </c>
      <c r="J105" s="586"/>
      <c r="K105" s="587" t="str">
        <f t="shared" si="8"/>
        <v/>
      </c>
      <c r="L105" s="588"/>
      <c r="M105" s="709" t="str">
        <f>IF(AND(E90&lt;&gt;"",OR(F105="",COUNT(K105:L105)=0),Y105&lt;&gt;EUconst_NA,T90&lt;&gt;TRUE),EUconst_ERR_Incomplete,IF(COUNTIF(AX105:AZ105,TRUE)&gt;0,EUconst_ERR_Inconsistent,""))</f>
        <v/>
      </c>
      <c r="O105" s="733"/>
      <c r="P105" s="33"/>
      <c r="Q105" s="33"/>
      <c r="R105" s="33"/>
      <c r="S105" s="30"/>
      <c r="T105" s="552" t="str">
        <f>EUconst_CNTR_CarbonContent&amp;E90</f>
        <v>CarbC_Degimas: Kitas dujinis ir skystasis kuras</v>
      </c>
      <c r="U105" s="497"/>
      <c r="V105" s="553" t="str">
        <f t="shared" si="13"/>
        <v>Skystasis – Dujos ir (arba) dyzelinas</v>
      </c>
      <c r="W105" s="30"/>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0"/>
      <c r="AC105" s="557" t="b">
        <f>AND(AC99,Y105&lt;&gt;EUconst_NA)</f>
        <v>0</v>
      </c>
      <c r="AD105" s="30"/>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0"/>
      <c r="AV105" s="567" t="b">
        <f t="shared" si="10"/>
        <v>0</v>
      </c>
      <c r="AW105" s="568" t="b">
        <f t="shared" si="11"/>
        <v>0</v>
      </c>
      <c r="AX105" s="546" t="b">
        <f>OR(AND(AJ99=EUconst_kNm3,AJ105=EUconst_tCpt),AND(AJ99=EUconst_t,AJ105=EUconst_tCpkNm3))</f>
        <v>0</v>
      </c>
      <c r="AY105" s="553" t="b">
        <f t="shared" si="12"/>
        <v>0</v>
      </c>
      <c r="AZ105" s="30"/>
      <c r="BA105" s="30"/>
      <c r="BB105" s="578" t="s">
        <v>488</v>
      </c>
      <c r="BC105" s="579">
        <f>AR99*AR102/1000*AR106</f>
        <v>0</v>
      </c>
      <c r="BD105" s="580">
        <f>BC105</f>
        <v>0</v>
      </c>
      <c r="BE105" s="581">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3" t="b">
        <f>OR(BZ99,Y105=EUconst_NA)</f>
        <v>1</v>
      </c>
    </row>
    <row r="106" spans="1:78" s="142" customFormat="1" ht="12.75" customHeight="1">
      <c r="A106" s="808"/>
      <c r="B106" s="166"/>
      <c r="C106" s="777" t="s">
        <v>330</v>
      </c>
      <c r="D106" s="512" t="str">
        <f>Translations!$B$641</f>
        <v>BioC:</v>
      </c>
      <c r="E106" s="513"/>
      <c r="F106" s="548"/>
      <c r="G106" s="1532" t="str">
        <f t="shared" si="7"/>
        <v/>
      </c>
      <c r="H106" s="1533"/>
      <c r="I106" s="1170"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0"/>
      <c r="T106" s="552" t="str">
        <f>EUconst_CNTR_BiomassContent&amp;E90</f>
        <v>BioC_Degimas: Kitas dujinis ir skystasis kuras</v>
      </c>
      <c r="U106" s="497"/>
      <c r="V106" s="594" t="str">
        <f t="shared" si="13"/>
        <v>Skystasis – Dujos ir (arba) dyzelinas</v>
      </c>
      <c r="W106" s="531" t="b">
        <f>IF(COUNTIF(MSPara_SourceStreamCategory,V106)=0,"",INDEX(MSPara_IsFossil,MATCH(V106,MSPara_SourceStreamCategory,0)))</f>
        <v>1</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0"/>
      <c r="AC106" s="557" t="b">
        <f>AND(AC99,Y106&lt;&gt;EUconst_NA)</f>
        <v>0</v>
      </c>
      <c r="AD106" s="30"/>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0"/>
      <c r="AV106" s="567" t="b">
        <f t="shared" si="10"/>
        <v>0</v>
      </c>
      <c r="AW106" s="568" t="b">
        <f t="shared" si="11"/>
        <v>0</v>
      </c>
      <c r="AX106" s="30"/>
      <c r="AY106" s="594" t="b">
        <f t="shared" si="12"/>
        <v>0</v>
      </c>
      <c r="AZ106" s="531"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3" t="b">
        <f>OR(BZ99,Y106=EUconst_NA)</f>
        <v>1</v>
      </c>
    </row>
    <row r="107" spans="1:78" s="142" customFormat="1" ht="12.75" customHeight="1" thickBot="1">
      <c r="A107" s="808"/>
      <c r="B107" s="166"/>
      <c r="C107" s="777" t="s">
        <v>454</v>
      </c>
      <c r="D107" s="512" t="str">
        <f>Translations!$B$647</f>
        <v>Netvar. BioC:</v>
      </c>
      <c r="E107" s="513"/>
      <c r="F107" s="597"/>
      <c r="G107" s="1532" t="str">
        <f t="shared" si="7"/>
        <v/>
      </c>
      <c r="H107" s="1533"/>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0"/>
      <c r="T107" s="599" t="str">
        <f>EUconst_CNTR_BiomassContent&amp;E90</f>
        <v>BioC_Degimas: Kitas dujinis ir skystasis kuras</v>
      </c>
      <c r="U107" s="497"/>
      <c r="V107" s="579" t="str">
        <f t="shared" si="13"/>
        <v>Skystasis – Dujos ir (arba) dyzelinas</v>
      </c>
      <c r="W107" s="580" t="b">
        <f>IF(COUNTIF(MSPara_SourceStreamCategory,V107)=0,"",INDEX(MSPara_IsFossil,MATCH(V107,MSPara_SourceStreamCategory,0)))</f>
        <v>1</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0"/>
      <c r="AC107" s="603" t="b">
        <f>AND(AC99,Y107&lt;&gt;EUconst_NA)</f>
        <v>0</v>
      </c>
      <c r="AD107" s="30"/>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0"/>
      <c r="AV107" s="613" t="b">
        <f t="shared" si="10"/>
        <v>0</v>
      </c>
      <c r="AW107" s="614" t="b">
        <f t="shared" si="11"/>
        <v>0</v>
      </c>
      <c r="AX107" s="30"/>
      <c r="AY107" s="579" t="b">
        <f t="shared" si="12"/>
        <v>0</v>
      </c>
      <c r="AZ107" s="580"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80" t="b">
        <f>OR(BZ99,Y107=EUconst_NA)</f>
        <v>1</v>
      </c>
    </row>
    <row r="108" spans="1:78" s="142" customFormat="1" ht="5.0999999999999996" customHeight="1">
      <c r="A108" s="808"/>
      <c r="B108" s="166"/>
      <c r="C108" s="166"/>
      <c r="D108" s="180"/>
      <c r="O108" s="733"/>
      <c r="P108" s="33"/>
      <c r="Q108" s="33"/>
      <c r="R108" s="33"/>
      <c r="S108" s="174"/>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c r="A109" s="808"/>
      <c r="B109" s="166"/>
      <c r="C109" s="166"/>
      <c r="D109" s="1558" t="str">
        <f>Translations!$B$674</f>
        <v>Pakopos galioja nuo:</v>
      </c>
      <c r="E109" s="1558"/>
      <c r="F109" s="1559"/>
      <c r="G109" s="1291" t="s">
        <v>1821</v>
      </c>
      <c r="H109" s="615" t="str">
        <f>Translations!$B$675</f>
        <v>iki:</v>
      </c>
      <c r="I109" s="1291" t="s">
        <v>1822</v>
      </c>
      <c r="J109" s="1536" t="str">
        <f>Translations!$B$676</f>
        <v>Atliekų katalogo numeris (jeigu taikytina):</v>
      </c>
      <c r="K109" s="1537"/>
      <c r="L109" s="1537"/>
      <c r="M109" s="1538"/>
      <c r="N109" s="1289"/>
      <c r="O109" s="733"/>
      <c r="P109" s="33"/>
      <c r="Q109" s="33"/>
      <c r="R109" s="33"/>
      <c r="S109" s="1290"/>
      <c r="T109" s="492"/>
      <c r="U109" s="492"/>
      <c r="V109" s="48" t="b">
        <f>IF(V99="",FALSE,INDEX(CNTR_IsWaste,MATCH(V99,MSParameters!$A$218:$A$376,0)))</f>
        <v>0</v>
      </c>
      <c r="W109" s="1290"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c r="A110" s="808"/>
      <c r="B110" s="166"/>
      <c r="C110" s="166"/>
      <c r="D110" s="615"/>
      <c r="E110" s="495"/>
      <c r="F110" s="495"/>
      <c r="G110" s="495"/>
      <c r="H110" s="495"/>
      <c r="I110" s="495"/>
      <c r="J110" s="495"/>
      <c r="K110" s="495"/>
      <c r="L110" s="495"/>
      <c r="M110" s="495"/>
      <c r="N110" s="495"/>
      <c r="O110" s="733"/>
      <c r="P110" s="33"/>
      <c r="Q110" s="33"/>
      <c r="R110" s="33"/>
      <c r="S110" s="174"/>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c r="A111" s="808"/>
      <c r="B111" s="166"/>
      <c r="C111" s="166"/>
      <c r="D111" s="495"/>
      <c r="E111" s="495"/>
      <c r="F111" s="495"/>
      <c r="G111" s="495"/>
      <c r="H111" s="495"/>
      <c r="I111" s="495"/>
      <c r="J111" s="495"/>
      <c r="K111" s="495"/>
      <c r="L111" s="495"/>
      <c r="M111" s="615" t="str">
        <f>Translations!$B$677</f>
        <v>Stebėsenos plane šiam sukėlikliui suteiktas identifikatorius:</v>
      </c>
      <c r="N111" s="714"/>
      <c r="O111" s="733"/>
      <c r="P111" s="33"/>
      <c r="Q111" s="33"/>
      <c r="R111" s="33"/>
      <c r="S111" s="174"/>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c r="A112" s="815"/>
      <c r="D112" s="180"/>
      <c r="O112" s="573"/>
      <c r="P112" s="497"/>
      <c r="Q112" s="497"/>
      <c r="R112" s="497"/>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ht="118.5" customHeight="1">
      <c r="A113" s="815"/>
      <c r="D113" s="1534" t="str">
        <f>Translations!$B$160</f>
        <v>Pastabos:</v>
      </c>
      <c r="E113" s="1535"/>
      <c r="F113" s="1539" t="s">
        <v>1825</v>
      </c>
      <c r="G113" s="1540"/>
      <c r="H113" s="1540"/>
      <c r="I113" s="1540"/>
      <c r="J113" s="1540"/>
      <c r="K113" s="1540"/>
      <c r="L113" s="1540"/>
      <c r="M113" s="1540"/>
      <c r="N113" s="1541"/>
      <c r="O113" s="573"/>
      <c r="P113" s="497"/>
      <c r="Q113" s="497"/>
      <c r="R113" s="497"/>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c r="A114" s="808"/>
      <c r="B114" s="495"/>
      <c r="C114" s="499"/>
      <c r="D114" s="500"/>
      <c r="E114" s="501"/>
      <c r="F114" s="499"/>
      <c r="G114" s="502"/>
      <c r="H114" s="502"/>
      <c r="I114" s="502"/>
      <c r="J114" s="502"/>
      <c r="K114" s="502"/>
      <c r="L114" s="502"/>
      <c r="M114" s="502"/>
      <c r="N114" s="502"/>
      <c r="O114" s="740"/>
      <c r="P114" s="494"/>
      <c r="Q114" s="494"/>
      <c r="R114" s="494"/>
      <c r="S114" s="58"/>
      <c r="T114" s="58"/>
      <c r="U114" s="498"/>
      <c r="V114" s="58"/>
      <c r="W114" s="58"/>
      <c r="X114" s="49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c r="A115" s="813"/>
      <c r="B115" s="495"/>
      <c r="C115" s="495"/>
      <c r="D115" s="180"/>
      <c r="E115" s="496"/>
      <c r="F115" s="495"/>
      <c r="G115" s="487"/>
      <c r="H115" s="487"/>
      <c r="I115" s="487"/>
      <c r="J115" s="487"/>
      <c r="K115" s="495"/>
      <c r="L115" s="487"/>
      <c r="M115" s="487"/>
      <c r="N115" s="487"/>
      <c r="O115" s="740"/>
      <c r="P115" s="494"/>
      <c r="Q115" s="494"/>
      <c r="R115" s="494"/>
      <c r="S115" s="23"/>
      <c r="T115" s="27">
        <f>IF(ISBLANK(E116),"",MATCH(E116,CNTR_SourceStreamNames,0))</f>
        <v>3</v>
      </c>
      <c r="U115" s="618"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1"/>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3" t="s">
        <v>262</v>
      </c>
    </row>
    <row r="116" spans="1:78" s="142" customFormat="1" ht="15" customHeight="1" thickBot="1">
      <c r="A116" s="869" t="str">
        <f>IF(E116="","","PRINT")</f>
        <v>PRINT</v>
      </c>
      <c r="B116" s="166"/>
      <c r="C116" s="617">
        <f>C89+1</f>
        <v>3</v>
      </c>
      <c r="D116" s="166"/>
      <c r="E116" s="1542" t="s">
        <v>1826</v>
      </c>
      <c r="F116" s="1543"/>
      <c r="G116" s="1543"/>
      <c r="H116" s="1543"/>
      <c r="I116" s="1543"/>
      <c r="J116" s="1544"/>
      <c r="K116" s="1545" t="str">
        <f>IF(E117="","",INDEX(EUwideConstants!$F$353:$F$394,MATCH(E117,EUConst_TierActivityListNames,0)))</f>
        <v>Degimas</v>
      </c>
      <c r="L116" s="1546"/>
      <c r="M116" s="503" t="str">
        <f>Translations!$B$665</f>
        <v>CO2, iškastinio kuro kilmės:</v>
      </c>
      <c r="N116" s="1050">
        <f>IF(OR(K116="",T117=TRUE),"",INDEX(BC130:BE130,MATCH(K116,BC126:BE126,0)))</f>
        <v>0</v>
      </c>
      <c r="O116" s="741" t="s">
        <v>260</v>
      </c>
      <c r="P116" s="1157" t="str">
        <f>IF(AND(E116&lt;&gt;"",COUNTIF(P117:$P$2089,"PRINT")=0),"PRINT","")</f>
        <v>PRINT</v>
      </c>
      <c r="Q116" s="352" t="str">
        <f>EUconst_SumCO2 &amp; "_" &amp; K116</f>
        <v>SUM_CO2_Degimas</v>
      </c>
      <c r="R116" s="494"/>
      <c r="S116" s="23"/>
      <c r="T116" s="509" t="s">
        <v>393</v>
      </c>
      <c r="U116" s="23"/>
      <c r="V116" s="78"/>
      <c r="W116" s="56"/>
      <c r="X116" s="58"/>
      <c r="Y116" s="58"/>
      <c r="Z116" s="58"/>
      <c r="AA116" s="58"/>
      <c r="AB116" s="58"/>
      <c r="AC116" s="58"/>
      <c r="AD116" s="58"/>
      <c r="AE116" s="58"/>
      <c r="AF116" s="58"/>
      <c r="AG116" s="58"/>
      <c r="AH116" s="58"/>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35047</v>
      </c>
      <c r="BI116" s="871" t="str">
        <f>AJ126</f>
        <v>t</v>
      </c>
      <c r="BJ116" s="871">
        <f>AR128</f>
        <v>109.9</v>
      </c>
      <c r="BK116" s="871" t="str">
        <f>AJ128</f>
        <v>tCO2/t</v>
      </c>
      <c r="BL116" s="871">
        <f>AR129</f>
        <v>8.1999999999999993</v>
      </c>
      <c r="BM116" s="871" t="str">
        <f>AJ129</f>
        <v>GJ/t</v>
      </c>
      <c r="BN116" s="871">
        <f>AR130</f>
        <v>1</v>
      </c>
      <c r="BO116" s="871">
        <f>AR131</f>
        <v>1</v>
      </c>
      <c r="BP116" s="871">
        <f>AR132</f>
        <v>0</v>
      </c>
      <c r="BQ116" s="871" t="str">
        <f>AJ132</f>
        <v/>
      </c>
      <c r="BR116" s="871">
        <f>AR133</f>
        <v>1</v>
      </c>
      <c r="BS116" s="871">
        <f>AR134</f>
        <v>0</v>
      </c>
      <c r="BT116" s="871">
        <f>N116</f>
        <v>0</v>
      </c>
      <c r="BU116" s="871">
        <f>N117</f>
        <v>3851665.3000000003</v>
      </c>
      <c r="BV116" s="871">
        <f>R119</f>
        <v>0</v>
      </c>
      <c r="BW116" s="871">
        <f>R125</f>
        <v>0</v>
      </c>
      <c r="BX116" s="871">
        <f>R126</f>
        <v>287.38539999999995</v>
      </c>
      <c r="BY116" s="56"/>
      <c r="BZ116" s="619" t="b">
        <f>CNTR_CalcRelevant=EUconst_NotRelevant</f>
        <v>0</v>
      </c>
    </row>
    <row r="117" spans="1:78" s="142" customFormat="1" ht="15" customHeight="1" thickBot="1">
      <c r="A117" s="808"/>
      <c r="B117" s="166"/>
      <c r="C117" s="166"/>
      <c r="D117" s="166"/>
      <c r="E117" s="1547" t="str">
        <f>IF(ISBLANK(E116),"",IF(INDEX(B_InstallationDescription!$E$71:$E$145,MATCH(U115,B_InstallationDescription!$D$71:$D$145,0))&gt;0,INDEX(B_InstallationDescription!$E$71:$E$145,MATCH(U115,B_InstallationDescription!$D$71:$D$145,0)),""))</f>
        <v>Degimas: Kietasis kuras</v>
      </c>
      <c r="F117" s="1548"/>
      <c r="G117" s="1548"/>
      <c r="H117" s="1548"/>
      <c r="I117" s="1548"/>
      <c r="J117" s="1549"/>
      <c r="M117" s="346" t="str">
        <f>Translations!$B$666</f>
        <v>CO2, biomasės kilmės.:</v>
      </c>
      <c r="N117" s="1051">
        <f>IF(OR(K116="",T117=TRUE),"",INDEX(BC129:BE129,MATCH(K116,BC126:BE126,0)))</f>
        <v>3851665.3000000003</v>
      </c>
      <c r="O117" s="742" t="s">
        <v>260</v>
      </c>
      <c r="P117" s="494"/>
      <c r="Q117" s="352" t="str">
        <f>EUconst_SumBioCO2 &amp; "_" &amp; K116</f>
        <v>SUM_bioCO2_Degimas</v>
      </c>
      <c r="R117" s="494"/>
      <c r="S117" s="23"/>
      <c r="T117" s="48" t="b">
        <f>IF(E117="","",MATCH(E117,EUConst_TierActivityListNames,0)&gt;40)</f>
        <v>0</v>
      </c>
      <c r="U117" s="23"/>
      <c r="V117" s="78"/>
      <c r="W117" s="56"/>
      <c r="X117" s="58"/>
      <c r="Y117" s="27" t="s">
        <v>93</v>
      </c>
      <c r="Z117" s="30"/>
      <c r="AA117" s="30"/>
      <c r="AB117" s="30"/>
      <c r="AC117" s="30"/>
      <c r="AD117" s="30"/>
      <c r="AE117" s="27" t="s">
        <v>302</v>
      </c>
      <c r="AF117" s="58"/>
      <c r="AG117" s="504"/>
      <c r="AH117" s="30"/>
      <c r="AI117" s="30"/>
      <c r="AJ117" s="504"/>
      <c r="AK117" s="504"/>
      <c r="AL117" s="342"/>
      <c r="AM117" s="27" t="s">
        <v>308</v>
      </c>
      <c r="AN117" s="505"/>
      <c r="AO117" s="505"/>
      <c r="AP117" s="30"/>
      <c r="AQ117" s="30"/>
      <c r="AR117" s="30"/>
      <c r="AS117" s="30"/>
      <c r="AT117" s="30"/>
      <c r="AU117" s="30"/>
      <c r="AV117" s="27" t="s">
        <v>315</v>
      </c>
      <c r="AW117" s="30"/>
      <c r="AX117" s="492"/>
      <c r="AY117" s="30"/>
      <c r="AZ117" s="30"/>
      <c r="BA117" s="30"/>
      <c r="BB117" s="27" t="s">
        <v>219</v>
      </c>
      <c r="BC117" s="30"/>
      <c r="BD117" s="30"/>
      <c r="BE117" s="30"/>
      <c r="BF117" s="30"/>
      <c r="BG117" s="27"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0"/>
      <c r="BZ117" s="30"/>
    </row>
    <row r="118" spans="1:78" s="142" customFormat="1" ht="5.0999999999999996" customHeight="1" thickBot="1">
      <c r="A118" s="808"/>
      <c r="B118" s="166"/>
      <c r="C118" s="166"/>
      <c r="D118" s="166"/>
      <c r="E118" s="166"/>
      <c r="F118" s="166"/>
      <c r="G118" s="166"/>
      <c r="M118" s="143"/>
      <c r="N118" s="143"/>
      <c r="O118" s="733"/>
      <c r="P118" s="33"/>
      <c r="Q118" s="33"/>
      <c r="R118" s="33"/>
      <c r="S118" s="23"/>
      <c r="T118" s="23"/>
      <c r="U118" s="23"/>
      <c r="V118" s="78"/>
      <c r="W118" s="30"/>
      <c r="X118" s="30"/>
      <c r="Y118" s="494"/>
      <c r="Z118" s="30"/>
      <c r="AA118" s="30"/>
      <c r="AB118" s="30"/>
      <c r="AC118" s="30"/>
      <c r="AD118" s="30"/>
      <c r="AE118" s="30"/>
      <c r="AF118" s="58"/>
      <c r="AG118" s="30"/>
      <c r="AH118" s="30"/>
      <c r="AI118" s="30"/>
      <c r="AJ118" s="504"/>
      <c r="AK118" s="504"/>
      <c r="AL118" s="342"/>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c r="A119" s="808"/>
      <c r="B119" s="166"/>
      <c r="C119" s="166"/>
      <c r="D119" s="166"/>
      <c r="E119" s="1550" t="str">
        <f>IF(E116="","",IF(T117=TRUE,HYPERLINK("#JUMP_14",EUconst_MsgGoOnPFC),HYPERLINK("#JUMP_E_8",EUconst_FurtherGuidancePoint1)))</f>
        <v xml:space="preserve">Išsamios duomenų įvedimo naudojantis šia priemone instrukcijos pateiktos šio lapo viršuje. </v>
      </c>
      <c r="F119" s="1550"/>
      <c r="G119" s="1550"/>
      <c r="H119" s="1550"/>
      <c r="I119" s="1550"/>
      <c r="J119" s="1550"/>
      <c r="K119" s="1550"/>
      <c r="L119" s="1550"/>
      <c r="M119" s="1550"/>
      <c r="N119" s="143"/>
      <c r="O119" s="733"/>
      <c r="P119" s="33"/>
      <c r="Q119" s="352" t="str">
        <f>EUconst_SumNonSustBioCO2 &amp; "_" &amp; K116</f>
        <v>SUM_bioNonSustCO2_Degimas</v>
      </c>
      <c r="R119" s="707">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4"/>
      <c r="AK119" s="504"/>
      <c r="AL119" s="342"/>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c r="A120" s="808"/>
      <c r="B120" s="166"/>
      <c r="C120" s="166"/>
      <c r="D120" s="166"/>
      <c r="E120" s="166"/>
      <c r="F120" s="166"/>
      <c r="G120" s="166"/>
      <c r="M120" s="143"/>
      <c r="N120" s="143"/>
      <c r="O120" s="733"/>
      <c r="P120" s="23"/>
      <c r="Q120" s="23"/>
      <c r="R120" s="23"/>
      <c r="S120" s="23"/>
      <c r="T120" s="23"/>
      <c r="U120" s="23"/>
      <c r="V120" s="30"/>
      <c r="W120" s="30"/>
      <c r="X120" s="30"/>
      <c r="Y120" s="494"/>
      <c r="Z120" s="30"/>
      <c r="AA120" s="30"/>
      <c r="AB120" s="30"/>
      <c r="AC120" s="30"/>
      <c r="AD120" s="30"/>
      <c r="AE120" s="30"/>
      <c r="AF120" s="58"/>
      <c r="AG120" s="30"/>
      <c r="AH120" s="30"/>
      <c r="AI120" s="30"/>
      <c r="AJ120" s="504"/>
      <c r="AK120" s="504"/>
      <c r="AL120" s="342"/>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c r="A121" s="808"/>
      <c r="B121" s="166"/>
      <c r="C121" s="814" t="s">
        <v>4</v>
      </c>
      <c r="D121" s="512" t="str">
        <f>Translations!$B$622</f>
        <v>VD:</v>
      </c>
      <c r="E121" s="1560" t="str">
        <f>Translations!$B$667</f>
        <v>Ar veiklos duomenys gaunami sudedant išmatuotus kiekius (t. y. ne atliekant nuolatinius matavimus)?</v>
      </c>
      <c r="F121" s="1560"/>
      <c r="G121" s="1560"/>
      <c r="H121" s="1560"/>
      <c r="I121" s="1560"/>
      <c r="J121" s="1560"/>
      <c r="K121" s="1560"/>
      <c r="L121" s="1179" t="b">
        <v>1</v>
      </c>
      <c r="M121" s="507"/>
      <c r="O121" s="733"/>
      <c r="P121" s="23"/>
      <c r="Q121" s="23"/>
      <c r="R121" s="23"/>
      <c r="S121" s="23"/>
      <c r="T121" s="23"/>
      <c r="U121" s="23"/>
      <c r="V121" s="30"/>
      <c r="W121" s="30"/>
      <c r="X121" s="30"/>
      <c r="Y121" s="494"/>
      <c r="Z121" s="30"/>
      <c r="AA121" s="30"/>
      <c r="AB121" s="30"/>
      <c r="AC121" s="1172" t="b">
        <f>AND(E116&lt;&gt;"",T117&lt;&gt;TRUE)</f>
        <v>1</v>
      </c>
      <c r="AD121" s="30"/>
      <c r="AE121" s="30"/>
      <c r="AF121" s="58"/>
      <c r="AG121" s="30"/>
      <c r="AH121" s="30"/>
      <c r="AI121" s="30"/>
      <c r="AJ121" s="504"/>
      <c r="AK121" s="504"/>
      <c r="AL121" s="342"/>
      <c r="AM121" s="30"/>
      <c r="AN121" s="30"/>
      <c r="AO121" s="30"/>
      <c r="AP121" s="30"/>
      <c r="AQ121" s="30"/>
      <c r="AR121" s="30"/>
      <c r="AS121" s="30"/>
      <c r="AT121" s="1172"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2" t="b">
        <f>OR(CNTR_CalcRelevant=EUconst_NotRelevant,AND(COUNTA(CNTR_ListRelevantSections)&gt;0,OR(T117=TRUE,E116="")))</f>
        <v>0</v>
      </c>
    </row>
    <row r="122" spans="1:78" s="142" customFormat="1" ht="5.0999999999999996" customHeight="1" thickBot="1">
      <c r="A122" s="808"/>
      <c r="B122" s="166"/>
      <c r="C122" s="166"/>
      <c r="D122" s="166"/>
      <c r="E122" s="166"/>
      <c r="F122" s="166"/>
      <c r="G122" s="166"/>
      <c r="H122" s="495"/>
      <c r="I122" s="495"/>
      <c r="J122" s="495"/>
      <c r="K122" s="495"/>
      <c r="L122" s="495"/>
      <c r="M122" s="507"/>
      <c r="O122" s="733"/>
      <c r="P122" s="23"/>
      <c r="Q122" s="23"/>
      <c r="R122" s="23"/>
      <c r="S122" s="23"/>
      <c r="T122" s="23"/>
      <c r="U122" s="23"/>
      <c r="V122" s="30"/>
      <c r="W122" s="30"/>
      <c r="X122" s="30"/>
      <c r="Y122" s="494"/>
      <c r="Z122" s="30"/>
      <c r="AA122" s="30"/>
      <c r="AB122" s="30"/>
      <c r="AC122" s="492"/>
      <c r="AD122" s="30"/>
      <c r="AE122" s="30"/>
      <c r="AF122" s="58"/>
      <c r="AG122" s="30"/>
      <c r="AH122" s="30"/>
      <c r="AI122" s="30"/>
      <c r="AJ122" s="504"/>
      <c r="AK122" s="504"/>
      <c r="AL122" s="342"/>
      <c r="AM122" s="30"/>
      <c r="AN122" s="30"/>
      <c r="AO122" s="30"/>
      <c r="AP122" s="30"/>
      <c r="AQ122" s="30"/>
      <c r="AR122" s="30"/>
      <c r="AS122" s="30"/>
      <c r="AT122" s="492"/>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2"/>
    </row>
    <row r="123" spans="1:78" s="142" customFormat="1" ht="12.75" customHeight="1" thickBot="1">
      <c r="A123" s="808"/>
      <c r="B123" s="166"/>
      <c r="C123" s="814" t="s">
        <v>5</v>
      </c>
      <c r="D123" s="512" t="str">
        <f>Translations!$B$622</f>
        <v>VD:</v>
      </c>
      <c r="E123" s="1162" t="str">
        <f>Translations!$B$668</f>
        <v>Pradinis kiekis:</v>
      </c>
      <c r="F123" s="1180">
        <v>1061.55</v>
      </c>
      <c r="G123" s="1163" t="str">
        <f>Translations!$B$669</f>
        <v>Galutinis kiekis:</v>
      </c>
      <c r="H123" s="1180">
        <v>35050.15</v>
      </c>
      <c r="I123" s="1163" t="str">
        <f>Translations!$B$670</f>
        <v>Įsigytas kiekis:</v>
      </c>
      <c r="J123" s="1180">
        <v>34987</v>
      </c>
      <c r="K123" s="1163" t="str">
        <f>Translations!$B$671</f>
        <v>Perduotas kiekis:</v>
      </c>
      <c r="L123" s="1180">
        <v>0</v>
      </c>
      <c r="M123" s="1164" t="str">
        <f>IF(AND(L121=TRUE,COUNT(F123,H123,J123,L123)&lt;4),EUconst_ERR_Incomplete,"")</f>
        <v/>
      </c>
      <c r="O123" s="733"/>
      <c r="P123" s="23"/>
      <c r="Q123" s="23"/>
      <c r="R123" s="23"/>
      <c r="S123" s="23"/>
      <c r="T123" s="23"/>
      <c r="U123" s="23"/>
      <c r="V123" s="30"/>
      <c r="W123" s="30"/>
      <c r="X123" s="30"/>
      <c r="Y123" s="494"/>
      <c r="Z123" s="30"/>
      <c r="AA123" s="30"/>
      <c r="AB123" s="30"/>
      <c r="AC123" s="1172" t="b">
        <f>AC121</f>
        <v>1</v>
      </c>
      <c r="AD123" s="30"/>
      <c r="AE123" s="30"/>
      <c r="AF123" s="58"/>
      <c r="AG123" s="30"/>
      <c r="AH123" s="30"/>
      <c r="AI123" s="30"/>
      <c r="AJ123" s="504"/>
      <c r="AK123" s="504"/>
      <c r="AL123" s="342"/>
      <c r="AM123" s="30"/>
      <c r="AN123" s="30"/>
      <c r="AO123" s="30"/>
      <c r="AP123" s="30"/>
      <c r="AQ123" s="30"/>
      <c r="AR123" s="30"/>
      <c r="AS123" s="30"/>
      <c r="AT123" s="1172"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2" t="b">
        <f>OR(BZ121,AND(NOT(ISBLANK(L121)),L121=FALSE))</f>
        <v>0</v>
      </c>
    </row>
    <row r="124" spans="1:78" s="142" customFormat="1" ht="5.0999999999999996" customHeight="1" thickBot="1">
      <c r="A124" s="808"/>
      <c r="B124" s="166"/>
      <c r="C124" s="166"/>
      <c r="D124" s="166"/>
      <c r="E124" s="166"/>
      <c r="F124" s="166"/>
      <c r="G124" s="166"/>
      <c r="M124" s="143"/>
      <c r="N124" s="143"/>
      <c r="O124" s="733"/>
      <c r="P124" s="23"/>
      <c r="Q124" s="23"/>
      <c r="R124" s="23"/>
      <c r="S124" s="23"/>
      <c r="T124" s="23"/>
      <c r="U124" s="23"/>
      <c r="V124" s="30"/>
      <c r="W124" s="30"/>
      <c r="X124" s="30"/>
      <c r="Y124" s="494"/>
      <c r="Z124" s="30"/>
      <c r="AA124" s="30"/>
      <c r="AB124" s="30"/>
      <c r="AC124" s="30"/>
      <c r="AD124" s="30"/>
      <c r="AE124" s="30"/>
      <c r="AF124" s="58"/>
      <c r="AG124" s="30"/>
      <c r="AH124" s="30"/>
      <c r="AI124" s="30"/>
      <c r="AJ124" s="504"/>
      <c r="AK124" s="504"/>
      <c r="AL124" s="342"/>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c r="A125" s="808"/>
      <c r="B125" s="166"/>
      <c r="C125" s="166"/>
      <c r="D125" s="166"/>
      <c r="E125" s="166"/>
      <c r="F125" s="506" t="str">
        <f>Translations!$B$333</f>
        <v>Pakopa</v>
      </c>
      <c r="G125" s="1557" t="str">
        <f>Translations!$B$672</f>
        <v>pakopos aprašas</v>
      </c>
      <c r="H125" s="1557"/>
      <c r="I125" s="1555" t="str">
        <f>Translations!$B$158</f>
        <v>Vienetas</v>
      </c>
      <c r="J125" s="1555"/>
      <c r="K125" s="1555" t="str">
        <f>Translations!$B$673</f>
        <v>Vertė</v>
      </c>
      <c r="L125" s="1555"/>
      <c r="M125" s="507" t="str">
        <f>Translations!$B$610</f>
        <v>klaida</v>
      </c>
      <c r="O125" s="733"/>
      <c r="P125" s="508"/>
      <c r="Q125" s="352" t="str">
        <f>EUconst_SumEnergyIN &amp; "_" &amp; K116</f>
        <v>SUM_EnergyIN_Degimas</v>
      </c>
      <c r="R125" s="399">
        <f>IF(OR(K116="",T117)=TRUE,"",INDEX(BC131:BE131,MATCH(K116,BC126:BE126,0)))</f>
        <v>0</v>
      </c>
      <c r="S125" s="30"/>
      <c r="T125" s="489"/>
      <c r="U125" s="30"/>
      <c r="V125" s="509" t="s">
        <v>303</v>
      </c>
      <c r="W125" s="30"/>
      <c r="X125" s="30"/>
      <c r="Y125" s="494" t="s">
        <v>566</v>
      </c>
      <c r="Z125" s="494" t="s">
        <v>318</v>
      </c>
      <c r="AA125" s="30"/>
      <c r="AB125" s="30"/>
      <c r="AC125" s="505" t="s">
        <v>309</v>
      </c>
      <c r="AD125" s="30"/>
      <c r="AE125" s="30"/>
      <c r="AF125" s="492" t="s">
        <v>305</v>
      </c>
      <c r="AG125" s="492" t="s">
        <v>306</v>
      </c>
      <c r="AH125" s="494" t="s">
        <v>304</v>
      </c>
      <c r="AI125" s="504" t="s">
        <v>307</v>
      </c>
      <c r="AJ125" s="504" t="s">
        <v>567</v>
      </c>
      <c r="AK125" s="510" t="s">
        <v>311</v>
      </c>
      <c r="AL125" s="342"/>
      <c r="AM125" s="30"/>
      <c r="AN125" s="492" t="s">
        <v>305</v>
      </c>
      <c r="AO125" s="492" t="s">
        <v>306</v>
      </c>
      <c r="AP125" s="511" t="s">
        <v>310</v>
      </c>
      <c r="AQ125" s="504" t="s">
        <v>569</v>
      </c>
      <c r="AR125" s="504" t="s">
        <v>568</v>
      </c>
      <c r="AS125" s="510" t="s">
        <v>311</v>
      </c>
      <c r="AT125" s="510" t="s">
        <v>311</v>
      </c>
      <c r="AU125" s="30"/>
      <c r="AV125" s="492"/>
      <c r="AW125" s="492"/>
      <c r="AX125" s="492" t="s">
        <v>321</v>
      </c>
      <c r="AY125" s="492"/>
      <c r="AZ125" s="492"/>
      <c r="BA125" s="492"/>
      <c r="BB125" s="492"/>
      <c r="BC125" s="492"/>
      <c r="BD125" s="492"/>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3" t="s">
        <v>262</v>
      </c>
    </row>
    <row r="126" spans="1:78" s="142" customFormat="1" ht="12.75" customHeight="1" thickBot="1">
      <c r="A126" s="808"/>
      <c r="B126" s="166"/>
      <c r="C126" s="777" t="s">
        <v>196</v>
      </c>
      <c r="D126" s="512" t="str">
        <f>Translations!$B$622</f>
        <v>VD:</v>
      </c>
      <c r="E126" s="513"/>
      <c r="F126" s="402">
        <v>4</v>
      </c>
      <c r="G126" s="1532" t="str">
        <f>IF(OR(ISBLANK(F126),F126=EUconst_NoTier),"",IF(Z126=0,EUconst_NA,IF(ISERROR(Z126),"",Z126)))</f>
        <v>± 1,5%</v>
      </c>
      <c r="H126" s="1533"/>
      <c r="I126" s="1165" t="str">
        <f>IF(J126&lt;&gt;"","",AI126)</f>
        <v>t</v>
      </c>
      <c r="J126" s="1166"/>
      <c r="K126" s="1173" t="str">
        <f>IF(L126="",AQ126,"")</f>
        <v/>
      </c>
      <c r="L126" s="1256">
        <v>35047</v>
      </c>
      <c r="M126" s="709" t="str">
        <f>IF(AND(E117&lt;&gt;"",OR(F126="",COUNT(K126:L126)=0),Y126&lt;&gt;EUconst_NA,T117&lt;&gt;TRUE),EUconst_ERR_Incomplete,IF(COUNTIF(AX126:AZ126,TRUE)&gt;0,EUconst_ERR_Inconsistent,""))</f>
        <v/>
      </c>
      <c r="O126" s="733"/>
      <c r="P126" s="644"/>
      <c r="Q126" s="352" t="str">
        <f>EUconst_SumBioEnergyIN &amp; "_" &amp; K116</f>
        <v>SUM_BioEnergyIN_Degimas</v>
      </c>
      <c r="R126" s="399">
        <f>IF(OR(K116="",T117)=TRUE,"",INDEX(BC132:BE132,MATCH(K116,BC126:BE126,0)))</f>
        <v>287.38539999999995</v>
      </c>
      <c r="S126" s="30"/>
      <c r="T126" s="514" t="str">
        <f>EUconst_CNTR_ActivityData&amp;E117</f>
        <v>ActivityData_Degimas: Kietasis kuras</v>
      </c>
      <c r="U126" s="497"/>
      <c r="V126" s="514" t="str">
        <f>IF(E116="","",INDEX(B_InstallationDescription!$I$71:$I$145,MATCH(U115,B_InstallationDescription!$D$71:$D$145,0)))</f>
        <v>Kietasis – Mediena (ne atliekos)</v>
      </c>
      <c r="W126" s="504" t="s">
        <v>539</v>
      </c>
      <c r="X126" s="497"/>
      <c r="Y126" s="515">
        <f>IF(OR(T117=TRUE,E117=""),"",INDEX(EUwideConstants!$N:$N,MATCH(T126,EUwideConstants!$Q:$Q,0)))</f>
        <v>4</v>
      </c>
      <c r="Z126" s="516" t="str">
        <f>IF(ISBLANK(F126),"",IF(F126=EUconst_NA,"",INDEX(EUwideConstants!$H:$M,MATCH(T126,EUwideConstants!$Q:$Q,0),MATCH(F126,CNTR_TierList,0))))</f>
        <v>± 1,5%</v>
      </c>
      <c r="AA126" s="517" t="s">
        <v>304</v>
      </c>
      <c r="AB126" s="504"/>
      <c r="AC126" s="518" t="b">
        <f>AC121</f>
        <v>1</v>
      </c>
      <c r="AD126" s="30"/>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0</v>
      </c>
      <c r="AL126" s="342"/>
      <c r="AM126" s="514" t="str">
        <f>EUconst_CNTR_ActivityData&amp;EUconst_Value</f>
        <v>ActivityData_Vertė</v>
      </c>
      <c r="AN126" s="505"/>
      <c r="AO126" s="505"/>
      <c r="AP126" s="518" t="b">
        <f>AND(AND(AH126&lt;&gt;"",AJ126&lt;&gt;""),AJ126=AH126)</f>
        <v>1</v>
      </c>
      <c r="AQ126" s="619">
        <f>IF(L121=TRUE,SUM(F123)-SUM(H123)+SUM(J123)-SUM(L123),"")</f>
        <v>998.40000000000146</v>
      </c>
      <c r="AR126" s="518">
        <f>IF(Y126=EUconst_NA,0,IF(COUNT(K126:L126)=0,0,IF(L126="",K126,L126)))</f>
        <v>35047</v>
      </c>
      <c r="AS126" s="1172" t="b">
        <f>AND(AC126=TRUE,OR(L126&lt;&gt;"",AQ126=""))</f>
        <v>1</v>
      </c>
      <c r="AT126" s="1172" t="b">
        <f>AND(AC126=TRUE,NOT(AS126))</f>
        <v>0</v>
      </c>
      <c r="AU126" s="30"/>
      <c r="AV126" s="492" t="s">
        <v>314</v>
      </c>
      <c r="AW126" s="492" t="s">
        <v>319</v>
      </c>
      <c r="AX126" s="524"/>
      <c r="AY126" s="30" t="s">
        <v>542</v>
      </c>
      <c r="AZ126" s="30"/>
      <c r="BA126" s="30"/>
      <c r="BB126" s="504"/>
      <c r="BC126" s="493" t="str">
        <f>EUconst_Fuel</f>
        <v>Degimas</v>
      </c>
      <c r="BD126" s="493" t="str">
        <f>EUconst_ProcessCarbonate</f>
        <v>Proceso metu išsiskiriančios ŠESD</v>
      </c>
      <c r="BE126" s="493"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4" t="b">
        <f>BZ121</f>
        <v>0</v>
      </c>
    </row>
    <row r="127" spans="1:78" s="142" customFormat="1" ht="5.0999999999999996" customHeight="1" thickBot="1">
      <c r="A127" s="808"/>
      <c r="B127" s="166"/>
      <c r="C127" s="814"/>
      <c r="D127" s="306"/>
      <c r="F127" s="143"/>
      <c r="G127" s="143"/>
      <c r="H127" s="143" t="s">
        <v>236</v>
      </c>
      <c r="I127" s="525"/>
      <c r="J127" s="525"/>
      <c r="K127" s="143"/>
      <c r="L127" s="143"/>
      <c r="M127" s="710"/>
      <c r="O127" s="733"/>
      <c r="P127" s="33"/>
      <c r="Q127" s="33"/>
      <c r="R127" s="33"/>
      <c r="S127" s="30"/>
      <c r="T127" s="155"/>
      <c r="U127" s="497"/>
      <c r="V127" s="30"/>
      <c r="W127" s="30"/>
      <c r="X127" s="497"/>
      <c r="Y127" s="526"/>
      <c r="Z127" s="30"/>
      <c r="AA127" s="30"/>
      <c r="AB127" s="30"/>
      <c r="AC127" s="30"/>
      <c r="AD127" s="30"/>
      <c r="AE127" s="30"/>
      <c r="AF127" s="30"/>
      <c r="AG127" s="30"/>
      <c r="AH127" s="30"/>
      <c r="AI127" s="30"/>
      <c r="AJ127" s="30"/>
      <c r="AK127" s="30"/>
      <c r="AL127" s="342"/>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3"/>
    </row>
    <row r="128" spans="1:78" s="142" customFormat="1" ht="12.75" customHeight="1" thickBot="1">
      <c r="A128" s="808"/>
      <c r="B128" s="166"/>
      <c r="C128" s="814" t="s">
        <v>197</v>
      </c>
      <c r="D128" s="512" t="str">
        <f>Translations!$B$634</f>
        <v>(prelim.) ITF:</v>
      </c>
      <c r="E128" s="513"/>
      <c r="F128" s="527" t="s">
        <v>265</v>
      </c>
      <c r="G128" s="1532" t="str">
        <f t="shared" ref="G128:G134" si="14">IF(OR(ISBLANK(F128),F128=EUconst_NoTier),"",IF(Z128=0,EUconst_NotApplicable,IF(ISERROR(Z128),"",Z128)))</f>
        <v>II tipas</v>
      </c>
      <c r="H128" s="1556"/>
      <c r="I128" s="1167" t="str">
        <f>IF(J128&lt;&gt;"","",AI128)</f>
        <v/>
      </c>
      <c r="J128" s="1168" t="s">
        <v>1827</v>
      </c>
      <c r="K128" s="528" t="str">
        <f t="shared" ref="K128:K134" si="15">IF(L128="",AQ128,"")</f>
        <v/>
      </c>
      <c r="L128" s="529">
        <v>109.9</v>
      </c>
      <c r="M128" s="709" t="str">
        <f>IF(AND(E117&lt;&gt;"",OR(F128="",COUNT(K128:L128)=0),Y128&lt;&gt;EUconst_NA,T117&lt;&gt;TRUE),EUconst_ERR_Incomplete,IF(COUNTIF(AX128:AZ128,TRUE)&gt;0,EUconst_ERR_Inconsistent,""))</f>
        <v/>
      </c>
      <c r="N128" s="495"/>
      <c r="O128" s="733"/>
      <c r="P128" s="33"/>
      <c r="Q128" s="33"/>
      <c r="R128" s="33"/>
      <c r="S128" s="30"/>
      <c r="T128" s="530" t="str">
        <f>EUconst_CNTR_EF&amp;E117</f>
        <v>EF_Degimas: Kietasis kuras</v>
      </c>
      <c r="U128" s="497"/>
      <c r="V128" s="531" t="str">
        <f>V126</f>
        <v>Kietasis – Mediena (ne atliekos)</v>
      </c>
      <c r="W128" s="30"/>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0"/>
      <c r="AC128" s="535" t="b">
        <f>AND(AC126,Y128&lt;&gt;EUconst_NA)</f>
        <v>1</v>
      </c>
      <c r="AD128" s="30"/>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v>
      </c>
      <c r="AK128" s="540" t="b">
        <f>IF(K116=EUconst_Fuel,J128&lt;&gt;"",FALSE)</f>
        <v>1</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0</v>
      </c>
      <c r="AP128" s="535" t="b">
        <f>AND(AND(AH128&lt;&gt;"",AJ128&lt;&gt;""),AJ128=AH128)</f>
        <v>0</v>
      </c>
      <c r="AQ128" s="543" t="str">
        <f>IF(AND(AA128&lt;&gt;"",AP128=TRUE),IF(OR(INDEX(AN128:AO128,3-AA128)=EUconst_NA,INDEX(AN128:AO128,3-AA128)=0),"",INDEX(AN128:AO128,3-AA128)),"")</f>
        <v/>
      </c>
      <c r="AR128" s="535">
        <f>IF(AC128=TRUE,IF(COUNT(K128:L128)=0,0,IF(L128="",K128,L128)),0)</f>
        <v>109.9</v>
      </c>
      <c r="AS128" s="531" t="b">
        <f>AND(AC128=TRUE,OR(AND(F128&lt;&gt;"",NOT(ISNUMBER(AA128))),L128&lt;&gt;"",F128="",AQ128=""))</f>
        <v>1</v>
      </c>
      <c r="AT128" s="531" t="b">
        <f t="shared" ref="AT128:AT134" si="16">AND(AC128=TRUE,NOT(AS128))</f>
        <v>0</v>
      </c>
      <c r="AU128" s="30"/>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0"/>
      <c r="BA128" s="30"/>
      <c r="BB128" s="547" t="s">
        <v>594</v>
      </c>
      <c r="BC128" s="546">
        <f>IF(K116=BC126,AR126*IF(AJ128=EUconst_tCO2pTJ,(AR129/1000),1)*AR128*AR130*AR134,"")</f>
        <v>0</v>
      </c>
      <c r="BD128" s="524" t="str">
        <f>IF(K116=BD126,AR126*AR128*AR131*AR134,"")</f>
        <v/>
      </c>
      <c r="BE128" s="523"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1" t="b">
        <f>OR(BZ126,Y128=EUconst_NA)</f>
        <v>0</v>
      </c>
    </row>
    <row r="129" spans="1:78" s="142" customFormat="1" ht="12.75" customHeight="1" thickBot="1">
      <c r="A129" s="808"/>
      <c r="B129" s="166"/>
      <c r="C129" s="814" t="s">
        <v>198</v>
      </c>
      <c r="D129" s="512" t="str">
        <f>Translations!$B$636</f>
        <v>GŠV:</v>
      </c>
      <c r="E129" s="513"/>
      <c r="F129" s="548" t="s">
        <v>265</v>
      </c>
      <c r="G129" s="1532" t="str">
        <f t="shared" si="14"/>
        <v>II tipas</v>
      </c>
      <c r="H129" s="1533"/>
      <c r="I129" s="1169" t="str">
        <f>AJ129</f>
        <v>GJ/t</v>
      </c>
      <c r="J129" s="549"/>
      <c r="K129" s="550" t="str">
        <f t="shared" si="15"/>
        <v/>
      </c>
      <c r="L129" s="551">
        <v>8.1999999999999993</v>
      </c>
      <c r="M129" s="709" t="str">
        <f>IF(AND(E117&lt;&gt;"",OR(F129="",COUNT(K129:L129)=0),Y129&lt;&gt;EUconst_NA,T117&lt;&gt;TRUE),EUconst_ERR_Incomplete,IF(COUNTIF(AX129:AZ129,TRUE)&gt;0,EUconst_ERR_Inconsistent,""))</f>
        <v/>
      </c>
      <c r="O129" s="733"/>
      <c r="P129" s="33"/>
      <c r="Q129" s="33"/>
      <c r="R129" s="33"/>
      <c r="S129" s="30"/>
      <c r="T129" s="552" t="str">
        <f>EUconst_CNTR_NCV&amp;E117</f>
        <v>NCV_Degimas: Kietasis kuras</v>
      </c>
      <c r="U129" s="497"/>
      <c r="V129" s="553" t="str">
        <f t="shared" ref="V129:V134" si="20">V128</f>
        <v>Kietasis – Mediena (ne atliekos)</v>
      </c>
      <c r="W129" s="30"/>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0"/>
      <c r="AC129" s="557" t="b">
        <f>AND(AC126,Y129&lt;&gt;EUconst_NA)</f>
        <v>1</v>
      </c>
      <c r="AD129" s="30"/>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15.6</v>
      </c>
      <c r="AP129" s="557" t="b">
        <f>AND(AND(AH129&lt;&gt;"",AJ129&lt;&gt;""),AJ129=AH129)</f>
        <v>0</v>
      </c>
      <c r="AQ129" s="566" t="str">
        <f>IF(AND(AA129&lt;&gt;"",AP129=TRUE),IF(OR(INDEX(AN129:AO129,3-AA129)=EUconst_NA,INDEX(AN129:AO129,3-AA129)=0),"",INDEX(AN129:AO129,3-AA129)),"")</f>
        <v/>
      </c>
      <c r="AR129" s="557">
        <f>IF(AC129=TRUE,IF(COUNT(K129:L129)=0,0,IF(L129="",K129,L129)),0)</f>
        <v>8.1999999999999993</v>
      </c>
      <c r="AS129" s="553" t="b">
        <f>AND(AC129=TRUE,OR(AND(F129&lt;&gt;"",NOT(ISNUMBER(AA129))),L129&lt;&gt;"",F129="",AQ129=""))</f>
        <v>1</v>
      </c>
      <c r="AT129" s="553" t="b">
        <f t="shared" si="16"/>
        <v>0</v>
      </c>
      <c r="AU129" s="30"/>
      <c r="AV129" s="567" t="b">
        <f t="shared" si="17"/>
        <v>1</v>
      </c>
      <c r="AW129" s="568" t="b">
        <f t="shared" si="18"/>
        <v>1</v>
      </c>
      <c r="AX129" s="30"/>
      <c r="AY129" s="553" t="b">
        <f t="shared" si="19"/>
        <v>0</v>
      </c>
      <c r="AZ129" s="30"/>
      <c r="BA129" s="30"/>
      <c r="BB129" s="547" t="s">
        <v>595</v>
      </c>
      <c r="BC129" s="546">
        <f>IF(K116=BC126,AR126*IF(AJ128=EUconst_tCO2pTJ,(AR129/1000),1)*AR128*AR130*AR133,"")</f>
        <v>3851665.3000000003</v>
      </c>
      <c r="BD129" s="524" t="str">
        <f>IF(K116=BD126,AR126*AR128*AR131*AR133,"")</f>
        <v/>
      </c>
      <c r="BE129" s="523"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3" t="b">
        <f>OR(BZ126,Y129=EUconst_NA)</f>
        <v>0</v>
      </c>
    </row>
    <row r="130" spans="1:78" s="142" customFormat="1" ht="12.75" customHeight="1" thickBot="1">
      <c r="A130" s="808"/>
      <c r="B130" s="166"/>
      <c r="C130" s="814" t="s">
        <v>199</v>
      </c>
      <c r="D130" s="512" t="str">
        <f>Translations!$B$638</f>
        <v>OksK:</v>
      </c>
      <c r="E130" s="513"/>
      <c r="F130" s="548">
        <v>1</v>
      </c>
      <c r="G130" s="1532" t="str">
        <f t="shared" si="14"/>
        <v>OksK = 1</v>
      </c>
      <c r="H130" s="1533"/>
      <c r="I130" s="1170" t="str">
        <f>IF(OR(AC130=FALSE,Y130=EUconst_NA),"","-")</f>
        <v>-</v>
      </c>
      <c r="J130" s="569"/>
      <c r="K130" s="570">
        <f t="shared" si="15"/>
        <v>1</v>
      </c>
      <c r="L130" s="703"/>
      <c r="M130" s="709" t="str">
        <f>IF(AND(E117&lt;&gt;"",OR(F130="",COUNT(K130:L130)=0),Y130&lt;&gt;EUconst_NA,T117&lt;&gt;TRUE),EUconst_ERR_Incomplete,IF(COUNTIF(AX130:AZ130,TRUE)&gt;0,EUconst_ERR_Inconsistent,""))</f>
        <v/>
      </c>
      <c r="O130" s="733"/>
      <c r="P130" s="33"/>
      <c r="Q130" s="33"/>
      <c r="R130" s="33"/>
      <c r="S130" s="30"/>
      <c r="T130" s="552" t="str">
        <f>EUconst_CNTR_OxidationFactor&amp;E117</f>
        <v>OxF_Degimas: Kietasis kuras</v>
      </c>
      <c r="U130" s="497"/>
      <c r="V130" s="553" t="str">
        <f t="shared" si="20"/>
        <v>Kietasis – Mediena (ne atliekos)</v>
      </c>
      <c r="W130" s="30"/>
      <c r="X130" s="497"/>
      <c r="Y130" s="554">
        <f>IF(OR(T117=TRUE,E117=""),"",INDEX(EUwideConstants!$N:$N,MATCH(T130,EUwideConstants!$Q:$Q,0)))</f>
        <v>1</v>
      </c>
      <c r="Z130" s="555" t="str">
        <f>IF(ISBLANK(F130),"",IF(F130=EUconst_NA,"",INDEX(EUwideConstants!$H:$M,MATCH(T130,EUwideConstants!$Q:$Q,0),MATCH(F130,CNTR_TierList,0))))</f>
        <v>OksK = 1</v>
      </c>
      <c r="AA130" s="534">
        <f>IF(F130=1,1,"")</f>
        <v>1</v>
      </c>
      <c r="AB130" s="30"/>
      <c r="AC130" s="557" t="b">
        <f>AND(AC126,Y130&lt;&gt;EUconst_NA)</f>
        <v>1</v>
      </c>
      <c r="AD130" s="30"/>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0"/>
      <c r="AV130" s="567" t="b">
        <f t="shared" si="17"/>
        <v>0</v>
      </c>
      <c r="AW130" s="568" t="b">
        <f t="shared" si="18"/>
        <v>0</v>
      </c>
      <c r="AX130" s="30"/>
      <c r="AY130" s="594" t="b">
        <f t="shared" si="19"/>
        <v>0</v>
      </c>
      <c r="AZ130" s="531" t="b">
        <f>AR130&gt;100%</f>
        <v>0</v>
      </c>
      <c r="BA130" s="30"/>
      <c r="BB130" s="547" t="s">
        <v>290</v>
      </c>
      <c r="BC130" s="546">
        <f>IF(K116=BC126,AR126*IF(AJ128=EUconst_tCO2pTJ,(AR129/1000),1)*AR128*AR130*(1-AR133),"")</f>
        <v>0</v>
      </c>
      <c r="BD130" s="524" t="str">
        <f>IF(K116=BD126,AR126*AR128*AR131*(1-AR133),"")</f>
        <v/>
      </c>
      <c r="BE130" s="523"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3" t="b">
        <f>OR(BZ126,Y130=EUconst_NA)</f>
        <v>0</v>
      </c>
    </row>
    <row r="131" spans="1:78" s="142" customFormat="1" ht="12.75" customHeight="1" thickBot="1">
      <c r="A131" s="808"/>
      <c r="B131" s="166"/>
      <c r="C131" s="814" t="s">
        <v>200</v>
      </c>
      <c r="D131" s="512" t="str">
        <f>Translations!$B$639</f>
        <v>KonvK:</v>
      </c>
      <c r="E131" s="513"/>
      <c r="F131" s="548"/>
      <c r="G131" s="1532" t="str">
        <f t="shared" si="14"/>
        <v/>
      </c>
      <c r="H131" s="1533"/>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3"/>
      <c r="Q131" s="33"/>
      <c r="R131" s="33"/>
      <c r="S131" s="30"/>
      <c r="T131" s="552" t="str">
        <f>EUconst_CNTR_ConversionFactor&amp;E117</f>
        <v>ConvF_Degimas: Kietasis kuras</v>
      </c>
      <c r="U131" s="497"/>
      <c r="V131" s="553" t="str">
        <f t="shared" si="20"/>
        <v>Kietasis – Mediena (ne atliekos)</v>
      </c>
      <c r="W131" s="30"/>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0"/>
      <c r="AC131" s="557" t="b">
        <f>AND(AC126,Y131&lt;&gt;EUconst_NA)</f>
        <v>0</v>
      </c>
      <c r="AD131" s="30"/>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0"/>
      <c r="AV131" s="567" t="b">
        <f t="shared" si="17"/>
        <v>0</v>
      </c>
      <c r="AW131" s="568" t="b">
        <f t="shared" si="18"/>
        <v>0</v>
      </c>
      <c r="AX131" s="30"/>
      <c r="AY131" s="594" t="b">
        <f t="shared" si="19"/>
        <v>0</v>
      </c>
      <c r="AZ131" s="580" t="b">
        <f>AR131&gt;100%</f>
        <v>0</v>
      </c>
      <c r="BA131" s="30"/>
      <c r="BB131" s="578" t="s">
        <v>487</v>
      </c>
      <c r="BC131" s="579">
        <f>AR126*AR129/1000*(1-AR133)</f>
        <v>0</v>
      </c>
      <c r="BD131" s="580">
        <f>BC131</f>
        <v>0</v>
      </c>
      <c r="BE131" s="581">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3" t="b">
        <f>OR(BZ126,Y131=EUconst_NA)</f>
        <v>1</v>
      </c>
    </row>
    <row r="132" spans="1:78" s="142" customFormat="1" ht="12.75" customHeight="1" thickBot="1">
      <c r="A132" s="808"/>
      <c r="B132" s="166"/>
      <c r="C132" s="814" t="s">
        <v>329</v>
      </c>
      <c r="D132" s="512" t="str">
        <f>Translations!$B$640</f>
        <v>AnglK:</v>
      </c>
      <c r="E132" s="513"/>
      <c r="F132" s="548"/>
      <c r="G132" s="1532" t="str">
        <f t="shared" si="14"/>
        <v/>
      </c>
      <c r="H132" s="1533"/>
      <c r="I132" s="1170" t="str">
        <f>AJ132</f>
        <v/>
      </c>
      <c r="J132" s="586"/>
      <c r="K132" s="587" t="str">
        <f t="shared" si="15"/>
        <v/>
      </c>
      <c r="L132" s="588"/>
      <c r="M132" s="709" t="str">
        <f>IF(AND(E117&lt;&gt;"",OR(F132="",COUNT(K132:L132)=0),Y132&lt;&gt;EUconst_NA,T117&lt;&gt;TRUE),EUconst_ERR_Incomplete,IF(COUNTIF(AX132:AZ132,TRUE)&gt;0,EUconst_ERR_Inconsistent,""))</f>
        <v/>
      </c>
      <c r="O132" s="733"/>
      <c r="P132" s="33"/>
      <c r="Q132" s="33"/>
      <c r="R132" s="33"/>
      <c r="S132" s="30"/>
      <c r="T132" s="552" t="str">
        <f>EUconst_CNTR_CarbonContent&amp;E117</f>
        <v>CarbC_Degimas: Kietasis kuras</v>
      </c>
      <c r="U132" s="497"/>
      <c r="V132" s="553" t="str">
        <f t="shared" si="20"/>
        <v>Kietasis – Mediena (ne atliekos)</v>
      </c>
      <c r="W132" s="30"/>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0"/>
      <c r="AC132" s="557" t="b">
        <f>AND(AC126,Y132&lt;&gt;EUconst_NA)</f>
        <v>0</v>
      </c>
      <c r="AD132" s="30"/>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0"/>
      <c r="AV132" s="567" t="b">
        <f t="shared" si="17"/>
        <v>0</v>
      </c>
      <c r="AW132" s="568" t="b">
        <f t="shared" si="18"/>
        <v>0</v>
      </c>
      <c r="AX132" s="546" t="b">
        <f>OR(AND(AJ126=EUconst_kNm3,AJ132=EUconst_tCpt),AND(AJ126=EUconst_t,AJ132=EUconst_tCpkNm3))</f>
        <v>0</v>
      </c>
      <c r="AY132" s="553" t="b">
        <f t="shared" si="19"/>
        <v>0</v>
      </c>
      <c r="AZ132" s="30"/>
      <c r="BA132" s="30"/>
      <c r="BB132" s="578" t="s">
        <v>488</v>
      </c>
      <c r="BC132" s="579">
        <f>AR126*AR129/1000*AR133</f>
        <v>287.38539999999995</v>
      </c>
      <c r="BD132" s="580">
        <f>BC132</f>
        <v>287.38539999999995</v>
      </c>
      <c r="BE132" s="581">
        <f>BC132</f>
        <v>287.38539999999995</v>
      </c>
      <c r="BF132" s="30"/>
      <c r="BG132" s="30"/>
      <c r="BH132" s="30"/>
      <c r="BI132" s="30"/>
      <c r="BJ132" s="30"/>
      <c r="BK132" s="30"/>
      <c r="BL132" s="30"/>
      <c r="BM132" s="30"/>
      <c r="BN132" s="30"/>
      <c r="BO132" s="30"/>
      <c r="BP132" s="30"/>
      <c r="BQ132" s="30"/>
      <c r="BR132" s="30"/>
      <c r="BS132" s="30"/>
      <c r="BT132" s="30"/>
      <c r="BU132" s="30"/>
      <c r="BV132" s="30"/>
      <c r="BW132" s="30"/>
      <c r="BX132" s="30"/>
      <c r="BY132" s="30"/>
      <c r="BZ132" s="553" t="b">
        <f>OR(BZ126,Y132=EUconst_NA)</f>
        <v>1</v>
      </c>
    </row>
    <row r="133" spans="1:78" s="142" customFormat="1" ht="12.75" customHeight="1">
      <c r="A133" s="808"/>
      <c r="B133" s="166"/>
      <c r="C133" s="777" t="s">
        <v>330</v>
      </c>
      <c r="D133" s="512" t="str">
        <f>Translations!$B$641</f>
        <v>BioC:</v>
      </c>
      <c r="E133" s="513"/>
      <c r="F133" s="548">
        <v>1</v>
      </c>
      <c r="G133" s="1532" t="str">
        <f t="shared" si="14"/>
        <v>I tipas, biol.</v>
      </c>
      <c r="H133" s="1533"/>
      <c r="I133" s="1170" t="str">
        <f>IF(OR(AC133=FALSE,Y133=EUconst_NA),"","-")</f>
        <v>-</v>
      </c>
      <c r="J133" s="569"/>
      <c r="K133" s="570" t="str">
        <f t="shared" si="15"/>
        <v/>
      </c>
      <c r="L133" s="703">
        <v>1</v>
      </c>
      <c r="M133" s="709" t="str">
        <f>IF(AND(E117&lt;&gt;"",OR(F133="",COUNT(K133:L133)=0),Y133&lt;&gt;EUconst_NA,T117&lt;&gt;TRUE),EUconst_ERR_Incomplete,IF(COUNTIF(AX133:AZ133,TRUE)&gt;0,EUconst_ERR_Inconsistent,""))</f>
        <v/>
      </c>
      <c r="O133" s="733"/>
      <c r="P133" s="644"/>
      <c r="Q133" s="644"/>
      <c r="R133" s="644"/>
      <c r="S133" s="30"/>
      <c r="T133" s="552" t="str">
        <f>EUconst_CNTR_BiomassContent&amp;E117</f>
        <v>BioC_Degimas: Kietasis kuras</v>
      </c>
      <c r="U133" s="497"/>
      <c r="V133" s="594" t="str">
        <f t="shared" si="20"/>
        <v>Kietasis – Mediena (ne atliekos)</v>
      </c>
      <c r="W133" s="531" t="b">
        <f>IF(COUNTIF(MSPara_SourceStreamCategory,V133)=0,"",INDEX(MSPara_IsFossil,MATCH(V133,MSPara_SourceStreamCategory,0)))</f>
        <v>0</v>
      </c>
      <c r="X133" s="497"/>
      <c r="Y133" s="554">
        <f>IF(OR(T117=TRUE,E117=""),"",IF(OR(W133=TRUE,F133=EUconst_NA),EUconst_NA,INDEX(EUwideConstants!$N:$N,MATCH(T133,EUwideConstants!$Q:$Q,0))))</f>
        <v>2</v>
      </c>
      <c r="Z133" s="555" t="str">
        <f>IF(ISBLANK(F133),"",IF(F133=EUconst_NA,"",INDEX(EUwideConstants!$H:$M,MATCH(T133,EUwideConstants!$Q:$Q,0),MATCH(F133,CNTR_TierList,0))))</f>
        <v>I tipas, biol.</v>
      </c>
      <c r="AA133" s="595">
        <f>IF(F133=1,1,"")</f>
        <v>1</v>
      </c>
      <c r="AB133" s="30"/>
      <c r="AC133" s="557" t="b">
        <f>AND(AC126,Y133&lt;&gt;EUconst_NA)</f>
        <v>1</v>
      </c>
      <c r="AD133" s="30"/>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netaik.</v>
      </c>
      <c r="AP133" s="562"/>
      <c r="AQ133" s="577" t="str">
        <f>IF(OR(AA133="",AO133=EUconst_NA),"",AO133)</f>
        <v/>
      </c>
      <c r="AR133" s="557">
        <f>IF(AC133=TRUE,IF(COUNT(K133:L133)=0,0,IF(L133="",K133,L133)),0)</f>
        <v>1</v>
      </c>
      <c r="AS133" s="553" t="b">
        <f>AND(AC133=TRUE,OR(AND(F133&lt;&gt;"",NOT(ISNUMBER(AA133))),L133&lt;&gt;"",F133="",AQ133=""))</f>
        <v>1</v>
      </c>
      <c r="AT133" s="553" t="b">
        <f t="shared" si="16"/>
        <v>0</v>
      </c>
      <c r="AU133" s="30"/>
      <c r="AV133" s="567" t="b">
        <f t="shared" si="17"/>
        <v>1</v>
      </c>
      <c r="AW133" s="568" t="b">
        <f t="shared" si="18"/>
        <v>1</v>
      </c>
      <c r="AX133" s="30"/>
      <c r="AY133" s="594" t="b">
        <f t="shared" si="19"/>
        <v>0</v>
      </c>
      <c r="AZ133" s="531"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3" t="b">
        <f>OR(BZ126,Y133=EUconst_NA)</f>
        <v>0</v>
      </c>
    </row>
    <row r="134" spans="1:78" s="142" customFormat="1" ht="12.75" customHeight="1" thickBot="1">
      <c r="A134" s="808"/>
      <c r="B134" s="166"/>
      <c r="C134" s="777" t="s">
        <v>454</v>
      </c>
      <c r="D134" s="512" t="str">
        <f>Translations!$B$647</f>
        <v>Netvar. BioC:</v>
      </c>
      <c r="E134" s="513"/>
      <c r="F134" s="597">
        <v>1</v>
      </c>
      <c r="G134" s="1532" t="str">
        <f t="shared" si="14"/>
        <v>I tipas, biol.</v>
      </c>
      <c r="H134" s="1533"/>
      <c r="I134" s="1171" t="str">
        <f>IF(OR(AC134=FALSE,Y134=EUconst_NA),"","-")</f>
        <v>-</v>
      </c>
      <c r="J134" s="569"/>
      <c r="K134" s="598" t="str">
        <f t="shared" si="15"/>
        <v/>
      </c>
      <c r="L134" s="1155">
        <v>0</v>
      </c>
      <c r="M134" s="709" t="str">
        <f>IF(AND(E117&lt;&gt;"",OR(F134="",COUNT(K134:L134)=0),Y134&lt;&gt;EUconst_NA,T117&lt;&gt;TRUE),EUconst_ERR_Incomplete,IF(COUNTIF(AX134:AZ134,TRUE)&gt;0,EUconst_ERR_Inconsistent,""))</f>
        <v/>
      </c>
      <c r="O134" s="733"/>
      <c r="P134" s="644"/>
      <c r="Q134" s="644"/>
      <c r="R134" s="644"/>
      <c r="S134" s="30"/>
      <c r="T134" s="599" t="str">
        <f>EUconst_CNTR_BiomassContent&amp;E117</f>
        <v>BioC_Degimas: Kietasis kuras</v>
      </c>
      <c r="U134" s="497"/>
      <c r="V134" s="579" t="str">
        <f t="shared" si="20"/>
        <v>Kietasis – Mediena (ne atliekos)</v>
      </c>
      <c r="W134" s="580" t="b">
        <f>IF(COUNTIF(MSPara_SourceStreamCategory,V134)=0,"",INDEX(MSPara_IsFossil,MATCH(V134,MSPara_SourceStreamCategory,0)))</f>
        <v>0</v>
      </c>
      <c r="X134" s="497"/>
      <c r="Y134" s="600">
        <f>IF(OR(T117=TRUE,E117=""),"",IF(OR(W134=TRUE,F134=EUconst_NA),EUconst_NA,INDEX(EUwideConstants!$N:$N,MATCH(T134,EUwideConstants!$Q:$Q,0))))</f>
        <v>2</v>
      </c>
      <c r="Z134" s="601" t="str">
        <f>IF(ISBLANK(F134),"",IF(F134=EUconst_NA,"",INDEX(EUwideConstants!$H:$M,MATCH(T134,EUwideConstants!$Q:$Q,0),MATCH(F134,CNTR_TierList,0))))</f>
        <v>I tipas, biol.</v>
      </c>
      <c r="AA134" s="602">
        <f>IF(F134=1,1,"")</f>
        <v>1</v>
      </c>
      <c r="AB134" s="30"/>
      <c r="AC134" s="603" t="b">
        <f>AND(AC126,Y134&lt;&gt;EUconst_NA)</f>
        <v>1</v>
      </c>
      <c r="AD134" s="30"/>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netaik.</v>
      </c>
      <c r="AP134" s="607"/>
      <c r="AQ134" s="611" t="str">
        <f>IF(OR(AA134="",AO134=EUconst_NA),"",AO134)</f>
        <v/>
      </c>
      <c r="AR134" s="603">
        <f>IF(AC134=TRUE,IF(COUNT(K134:L134)=0,0,IF(L134="",K134,L134)),0)</f>
        <v>0</v>
      </c>
      <c r="AS134" s="612" t="b">
        <f>AND(AC134=TRUE,OR(AND(F134&lt;&gt;"",NOT(ISNUMBER(AA134))),L134&lt;&gt;"",F134="",AQ134=""))</f>
        <v>1</v>
      </c>
      <c r="AT134" s="612" t="b">
        <f t="shared" si="16"/>
        <v>0</v>
      </c>
      <c r="AU134" s="30"/>
      <c r="AV134" s="613" t="b">
        <f t="shared" si="17"/>
        <v>1</v>
      </c>
      <c r="AW134" s="614" t="b">
        <f t="shared" si="18"/>
        <v>1</v>
      </c>
      <c r="AX134" s="30"/>
      <c r="AY134" s="579" t="b">
        <f t="shared" si="19"/>
        <v>0</v>
      </c>
      <c r="AZ134" s="580"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80" t="b">
        <f>OR(BZ126,Y134=EUconst_NA)</f>
        <v>0</v>
      </c>
    </row>
    <row r="135" spans="1:78" s="142" customFormat="1" ht="5.0999999999999996" customHeight="1">
      <c r="A135" s="808"/>
      <c r="B135" s="166"/>
      <c r="C135" s="166"/>
      <c r="D135" s="180"/>
      <c r="O135" s="733"/>
      <c r="P135" s="33"/>
      <c r="Q135" s="33"/>
      <c r="R135" s="33"/>
      <c r="S135" s="174"/>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c r="A136" s="808"/>
      <c r="B136" s="166"/>
      <c r="C136" s="166"/>
      <c r="D136" s="1558" t="str">
        <f>Translations!$B$674</f>
        <v>Pakopos galioja nuo:</v>
      </c>
      <c r="E136" s="1558"/>
      <c r="F136" s="1559"/>
      <c r="G136" s="1291" t="s">
        <v>1821</v>
      </c>
      <c r="H136" s="615" t="str">
        <f>Translations!$B$675</f>
        <v>iki:</v>
      </c>
      <c r="I136" s="1291" t="s">
        <v>1822</v>
      </c>
      <c r="J136" s="1536" t="str">
        <f>Translations!$B$676</f>
        <v>Atliekų katalogo numeris (jeigu taikytina):</v>
      </c>
      <c r="K136" s="1537"/>
      <c r="L136" s="1537"/>
      <c r="M136" s="1538"/>
      <c r="N136" s="1289"/>
      <c r="O136" s="733"/>
      <c r="P136" s="33"/>
      <c r="Q136" s="33"/>
      <c r="R136" s="33"/>
      <c r="S136" s="1290"/>
      <c r="T136" s="492"/>
      <c r="U136" s="492"/>
      <c r="V136" s="48" t="b">
        <f>IF(V126="",FALSE,INDEX(CNTR_IsWaste,MATCH(V126,MSParameters!$A$218:$A$376,0)))</f>
        <v>0</v>
      </c>
      <c r="W136" s="1290"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c r="A137" s="808"/>
      <c r="B137" s="166"/>
      <c r="C137" s="166"/>
      <c r="D137" s="615"/>
      <c r="E137" s="495"/>
      <c r="F137" s="495"/>
      <c r="G137" s="495"/>
      <c r="H137" s="495"/>
      <c r="I137" s="495"/>
      <c r="J137" s="495"/>
      <c r="K137" s="495"/>
      <c r="L137" s="495"/>
      <c r="M137" s="495"/>
      <c r="N137" s="495"/>
      <c r="O137" s="733"/>
      <c r="P137" s="33"/>
      <c r="Q137" s="33"/>
      <c r="R137" s="33"/>
      <c r="S137" s="174"/>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3"/>
      <c r="Q138" s="33"/>
      <c r="R138" s="33"/>
      <c r="S138" s="174"/>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c r="A139" s="815"/>
      <c r="D139" s="180"/>
      <c r="O139" s="573"/>
      <c r="P139" s="497"/>
      <c r="Q139" s="497"/>
      <c r="R139" s="497"/>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c r="A140" s="815"/>
      <c r="D140" s="1534" t="str">
        <f>Translations!$B$160</f>
        <v>Pastabos:</v>
      </c>
      <c r="E140" s="1535"/>
      <c r="F140" s="1539" t="s">
        <v>1828</v>
      </c>
      <c r="G140" s="1540"/>
      <c r="H140" s="1540"/>
      <c r="I140" s="1540"/>
      <c r="J140" s="1540"/>
      <c r="K140" s="1540"/>
      <c r="L140" s="1540"/>
      <c r="M140" s="1540"/>
      <c r="N140" s="1541"/>
      <c r="O140" s="573"/>
      <c r="P140" s="497"/>
      <c r="Q140" s="497"/>
      <c r="R140" s="497"/>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c r="A141" s="808"/>
      <c r="B141" s="495"/>
      <c r="C141" s="499"/>
      <c r="D141" s="500"/>
      <c r="E141" s="501"/>
      <c r="F141" s="499"/>
      <c r="G141" s="502"/>
      <c r="H141" s="502"/>
      <c r="I141" s="502"/>
      <c r="J141" s="502"/>
      <c r="K141" s="502"/>
      <c r="L141" s="502"/>
      <c r="M141" s="502"/>
      <c r="N141" s="502"/>
      <c r="O141" s="740"/>
      <c r="P141" s="494"/>
      <c r="Q141" s="494"/>
      <c r="R141" s="494"/>
      <c r="S141" s="58"/>
      <c r="T141" s="58"/>
      <c r="U141" s="498"/>
      <c r="V141" s="58"/>
      <c r="W141" s="58"/>
      <c r="X141" s="49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1.25" customHeight="1" thickBot="1">
      <c r="A142" s="813"/>
      <c r="B142" s="495"/>
      <c r="C142" s="495"/>
      <c r="D142" s="180"/>
      <c r="E142" s="496"/>
      <c r="F142" s="495"/>
      <c r="G142" s="487"/>
      <c r="H142" s="487"/>
      <c r="I142" s="487"/>
      <c r="J142" s="487"/>
      <c r="K142" s="495"/>
      <c r="L142" s="487"/>
      <c r="M142" s="487"/>
      <c r="N142" s="487"/>
      <c r="O142" s="740"/>
      <c r="P142" s="494"/>
      <c r="Q142" s="494"/>
      <c r="R142" s="494"/>
      <c r="S142" s="23"/>
      <c r="T142" s="27" t="str">
        <f>IF(ISBLANK(E143),"",MATCH(E143,CNTR_SourceStreamNames,0))</f>
        <v/>
      </c>
      <c r="U142" s="618" t="str">
        <f>IF(ISBLANK(E143),"",INDEX(B_InstallationDescription!$D$71:$D$145,MATCH(E143,CNTR_SourceStreamNames,0)))</f>
        <v/>
      </c>
      <c r="V142" s="78"/>
      <c r="W142" s="56"/>
      <c r="X142" s="56"/>
      <c r="Y142" s="56"/>
      <c r="Z142" s="58"/>
      <c r="AA142" s="58"/>
      <c r="AB142" s="58"/>
      <c r="AC142" s="58"/>
      <c r="AD142" s="58"/>
      <c r="AE142" s="58"/>
      <c r="AF142" s="58"/>
      <c r="AG142" s="58"/>
      <c r="AH142" s="58"/>
      <c r="AI142" s="58"/>
      <c r="AJ142" s="58"/>
      <c r="AK142" s="491"/>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3" t="s">
        <v>262</v>
      </c>
    </row>
    <row r="143" spans="1:78" s="142" customFormat="1" ht="15" hidden="1" customHeight="1" thickBot="1">
      <c r="A143" s="869" t="str">
        <f>IF(E143="","","PRINT")</f>
        <v/>
      </c>
      <c r="B143" s="166"/>
      <c r="C143" s="617">
        <f>C116+1</f>
        <v>4</v>
      </c>
      <c r="D143" s="166"/>
      <c r="E143" s="1542"/>
      <c r="F143" s="1543"/>
      <c r="G143" s="1543"/>
      <c r="H143" s="1543"/>
      <c r="I143" s="1543"/>
      <c r="J143" s="1544"/>
      <c r="K143" s="1545" t="str">
        <f>IF(E144="","",INDEX(EUwideConstants!$F$353:$F$394,MATCH(E144,EUConst_TierActivityListNames,0)))</f>
        <v/>
      </c>
      <c r="L143" s="1546"/>
      <c r="M143" s="503" t="str">
        <f>Translations!$B$665</f>
        <v>CO2, iškastinio kuro kilmės:</v>
      </c>
      <c r="N143" s="1050" t="str">
        <f>IF(OR(K143="",T144=TRUE),"",INDEX(BC157:BE157,MATCH(K143,BC153:BE153,0)))</f>
        <v/>
      </c>
      <c r="O143" s="741" t="s">
        <v>260</v>
      </c>
      <c r="P143" s="1157" t="str">
        <f>IF(AND(E143&lt;&gt;"",COUNTIF(P144:$P$2089,"PRINT")=0),"PRINT","")</f>
        <v/>
      </c>
      <c r="Q143" s="352" t="str">
        <f>EUconst_SumCO2 &amp; "_" &amp; K143</f>
        <v>SUM_CO2_</v>
      </c>
      <c r="R143" s="494"/>
      <c r="S143" s="23"/>
      <c r="T143" s="509" t="s">
        <v>393</v>
      </c>
      <c r="U143" s="23"/>
      <c r="V143" s="78"/>
      <c r="W143" s="56"/>
      <c r="X143" s="58"/>
      <c r="Y143" s="58"/>
      <c r="Z143" s="58"/>
      <c r="AA143" s="58"/>
      <c r="AB143" s="58"/>
      <c r="AC143" s="58"/>
      <c r="AD143" s="58"/>
      <c r="AE143" s="58"/>
      <c r="AF143" s="58"/>
      <c r="AG143" s="58"/>
      <c r="AH143" s="58"/>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6"/>
      <c r="BZ143" s="619" t="b">
        <f>CNTR_CalcRelevant=EUconst_NotRelevant</f>
        <v>0</v>
      </c>
    </row>
    <row r="144" spans="1:78" s="142" customFormat="1" ht="15" hidden="1" customHeight="1" thickBot="1">
      <c r="A144" s="808"/>
      <c r="B144" s="166"/>
      <c r="C144" s="166"/>
      <c r="D144" s="166"/>
      <c r="E144" s="1547" t="str">
        <f>IF(ISBLANK(E143),"",IF(INDEX(B_InstallationDescription!$E$71:$E$145,MATCH(U142,B_InstallationDescription!$D$71:$D$145,0))&gt;0,INDEX(B_InstallationDescription!$E$71:$E$145,MATCH(U142,B_InstallationDescription!$D$71:$D$145,0)),""))</f>
        <v/>
      </c>
      <c r="F144" s="1548"/>
      <c r="G144" s="1548"/>
      <c r="H144" s="1548"/>
      <c r="I144" s="1548"/>
      <c r="J144" s="1549"/>
      <c r="M144" s="346" t="str">
        <f>Translations!$B$666</f>
        <v>CO2, biomasės kilmės.:</v>
      </c>
      <c r="N144" s="1051" t="str">
        <f>IF(OR(K143="",T144=TRUE),"",INDEX(BC156:BE156,MATCH(K143,BC153:BE153,0)))</f>
        <v/>
      </c>
      <c r="O144" s="742" t="s">
        <v>260</v>
      </c>
      <c r="P144" s="494"/>
      <c r="Q144" s="352" t="str">
        <f>EUconst_SumBioCO2 &amp; "_" &amp; K143</f>
        <v>SUM_bioCO2_</v>
      </c>
      <c r="R144" s="494"/>
      <c r="S144" s="23"/>
      <c r="T144" s="48" t="str">
        <f>IF(E144="","",MATCH(E144,EUConst_TierActivityListNames,0)&gt;40)</f>
        <v/>
      </c>
      <c r="U144" s="23"/>
      <c r="V144" s="78"/>
      <c r="W144" s="56"/>
      <c r="X144" s="58"/>
      <c r="Y144" s="27" t="s">
        <v>93</v>
      </c>
      <c r="Z144" s="30"/>
      <c r="AA144" s="30"/>
      <c r="AB144" s="30"/>
      <c r="AC144" s="30"/>
      <c r="AD144" s="30"/>
      <c r="AE144" s="27" t="s">
        <v>302</v>
      </c>
      <c r="AF144" s="58"/>
      <c r="AG144" s="504"/>
      <c r="AH144" s="30"/>
      <c r="AI144" s="30"/>
      <c r="AJ144" s="504"/>
      <c r="AK144" s="504"/>
      <c r="AL144" s="342"/>
      <c r="AM144" s="27" t="s">
        <v>308</v>
      </c>
      <c r="AN144" s="505"/>
      <c r="AO144" s="505"/>
      <c r="AP144" s="30"/>
      <c r="AQ144" s="30"/>
      <c r="AR144" s="30"/>
      <c r="AS144" s="30"/>
      <c r="AT144" s="30"/>
      <c r="AU144" s="30"/>
      <c r="AV144" s="27" t="s">
        <v>315</v>
      </c>
      <c r="AW144" s="30"/>
      <c r="AX144" s="492"/>
      <c r="AY144" s="30"/>
      <c r="AZ144" s="30"/>
      <c r="BA144" s="30"/>
      <c r="BB144" s="27" t="s">
        <v>219</v>
      </c>
      <c r="BC144" s="30"/>
      <c r="BD144" s="30"/>
      <c r="BE144" s="30"/>
      <c r="BF144" s="30"/>
      <c r="BG144" s="27"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0"/>
      <c r="BZ144" s="30"/>
    </row>
    <row r="145" spans="1:78" s="142" customFormat="1" ht="4.5" hidden="1" customHeight="1">
      <c r="A145" s="808"/>
      <c r="B145" s="166"/>
      <c r="C145" s="166"/>
      <c r="D145" s="166"/>
      <c r="E145" s="166"/>
      <c r="F145" s="166"/>
      <c r="G145" s="166"/>
      <c r="M145" s="143"/>
      <c r="N145" s="143"/>
      <c r="O145" s="733"/>
      <c r="P145" s="33"/>
      <c r="Q145" s="33"/>
      <c r="R145" s="33"/>
      <c r="S145" s="23"/>
      <c r="T145" s="23"/>
      <c r="U145" s="23"/>
      <c r="V145" s="78"/>
      <c r="W145" s="30"/>
      <c r="X145" s="30"/>
      <c r="Y145" s="494"/>
      <c r="Z145" s="30"/>
      <c r="AA145" s="30"/>
      <c r="AB145" s="30"/>
      <c r="AC145" s="30"/>
      <c r="AD145" s="30"/>
      <c r="AE145" s="30"/>
      <c r="AF145" s="58"/>
      <c r="AG145" s="30"/>
      <c r="AH145" s="30"/>
      <c r="AI145" s="30"/>
      <c r="AJ145" s="504"/>
      <c r="AK145" s="504"/>
      <c r="AL145" s="342"/>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hidden="1" customHeight="1" thickBot="1">
      <c r="A146" s="808"/>
      <c r="B146" s="166"/>
      <c r="C146" s="166"/>
      <c r="D146" s="166"/>
      <c r="E146" s="1550" t="str">
        <f>IF(E143="","",IF(T144=TRUE,HYPERLINK("#JUMP_14",EUconst_MsgGoOnPFC),HYPERLINK("#JUMP_E_8",EUconst_FurtherGuidancePoint1)))</f>
        <v/>
      </c>
      <c r="F146" s="1550"/>
      <c r="G146" s="1550"/>
      <c r="H146" s="1550"/>
      <c r="I146" s="1550"/>
      <c r="J146" s="1550"/>
      <c r="K146" s="1550"/>
      <c r="L146" s="1550"/>
      <c r="M146" s="1550"/>
      <c r="N146" s="143"/>
      <c r="O146" s="733"/>
      <c r="P146" s="33"/>
      <c r="Q146" s="352" t="str">
        <f>EUconst_SumNonSustBioCO2 &amp; "_" &amp; K143</f>
        <v>SUM_bioNonSustCO2_</v>
      </c>
      <c r="R146" s="707"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504"/>
      <c r="AK146" s="504"/>
      <c r="AL146" s="342"/>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4.5" hidden="1" customHeight="1">
      <c r="A147" s="808"/>
      <c r="B147" s="166"/>
      <c r="C147" s="166"/>
      <c r="D147" s="166"/>
      <c r="E147" s="166"/>
      <c r="F147" s="166"/>
      <c r="G147" s="166"/>
      <c r="M147" s="143"/>
      <c r="N147" s="143"/>
      <c r="O147" s="733"/>
      <c r="P147" s="23"/>
      <c r="Q147" s="23"/>
      <c r="R147" s="23"/>
      <c r="S147" s="23"/>
      <c r="T147" s="23"/>
      <c r="U147" s="23"/>
      <c r="V147" s="30"/>
      <c r="W147" s="30"/>
      <c r="X147" s="30"/>
      <c r="Y147" s="494"/>
      <c r="Z147" s="30"/>
      <c r="AA147" s="30"/>
      <c r="AB147" s="30"/>
      <c r="AC147" s="30"/>
      <c r="AD147" s="30"/>
      <c r="AE147" s="30"/>
      <c r="AF147" s="58"/>
      <c r="AG147" s="30"/>
      <c r="AH147" s="30"/>
      <c r="AI147" s="30"/>
      <c r="AJ147" s="504"/>
      <c r="AK147" s="504"/>
      <c r="AL147" s="342"/>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hidden="1" customHeight="1" thickBot="1">
      <c r="A148" s="808"/>
      <c r="B148" s="166"/>
      <c r="C148" s="814" t="s">
        <v>4</v>
      </c>
      <c r="D148" s="512" t="str">
        <f>Translations!$B$622</f>
        <v>VD:</v>
      </c>
      <c r="E148" s="1560" t="str">
        <f>Translations!$B$667</f>
        <v>Ar veiklos duomenys gaunami sudedant išmatuotus kiekius (t. y. ne atliekant nuolatinius matavimus)?</v>
      </c>
      <c r="F148" s="1560"/>
      <c r="G148" s="1560"/>
      <c r="H148" s="1560"/>
      <c r="I148" s="1560"/>
      <c r="J148" s="1560"/>
      <c r="K148" s="1560"/>
      <c r="L148" s="1179"/>
      <c r="M148" s="507"/>
      <c r="O148" s="733"/>
      <c r="P148" s="23"/>
      <c r="Q148" s="23"/>
      <c r="R148" s="23"/>
      <c r="S148" s="23"/>
      <c r="T148" s="23"/>
      <c r="U148" s="23"/>
      <c r="V148" s="30"/>
      <c r="W148" s="30"/>
      <c r="X148" s="30"/>
      <c r="Y148" s="494"/>
      <c r="Z148" s="30"/>
      <c r="AA148" s="30"/>
      <c r="AB148" s="30"/>
      <c r="AC148" s="1172" t="b">
        <f>AND(E143&lt;&gt;"",T144&lt;&gt;TRUE)</f>
        <v>0</v>
      </c>
      <c r="AD148" s="30"/>
      <c r="AE148" s="30"/>
      <c r="AF148" s="58"/>
      <c r="AG148" s="30"/>
      <c r="AH148" s="30"/>
      <c r="AI148" s="30"/>
      <c r="AJ148" s="504"/>
      <c r="AK148" s="504"/>
      <c r="AL148" s="342"/>
      <c r="AM148" s="30"/>
      <c r="AN148" s="30"/>
      <c r="AO148" s="30"/>
      <c r="AP148" s="30"/>
      <c r="AQ148" s="30"/>
      <c r="AR148" s="30"/>
      <c r="AS148" s="30"/>
      <c r="AT148" s="1172"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2" t="b">
        <f>OR(CNTR_CalcRelevant=EUconst_NotRelevant,AND(COUNTA(CNTR_ListRelevantSections)&gt;0,OR(T144=TRUE,E143="")))</f>
        <v>1</v>
      </c>
    </row>
    <row r="149" spans="1:78" s="142" customFormat="1" ht="5.0999999999999996" hidden="1" customHeight="1">
      <c r="A149" s="808"/>
      <c r="B149" s="166"/>
      <c r="C149" s="166"/>
      <c r="D149" s="166"/>
      <c r="E149" s="166"/>
      <c r="F149" s="166"/>
      <c r="G149" s="166"/>
      <c r="H149" s="495"/>
      <c r="I149" s="495"/>
      <c r="J149" s="495"/>
      <c r="K149" s="495"/>
      <c r="L149" s="495"/>
      <c r="M149" s="507"/>
      <c r="O149" s="733"/>
      <c r="P149" s="23"/>
      <c r="Q149" s="23"/>
      <c r="R149" s="23"/>
      <c r="S149" s="23"/>
      <c r="T149" s="23"/>
      <c r="U149" s="23"/>
      <c r="V149" s="30"/>
      <c r="W149" s="30"/>
      <c r="X149" s="30"/>
      <c r="Y149" s="494"/>
      <c r="Z149" s="30"/>
      <c r="AA149" s="30"/>
      <c r="AB149" s="30"/>
      <c r="AC149" s="492"/>
      <c r="AD149" s="30"/>
      <c r="AE149" s="30"/>
      <c r="AF149" s="58"/>
      <c r="AG149" s="30"/>
      <c r="AH149" s="30"/>
      <c r="AI149" s="30"/>
      <c r="AJ149" s="504"/>
      <c r="AK149" s="504"/>
      <c r="AL149" s="342"/>
      <c r="AM149" s="30"/>
      <c r="AN149" s="30"/>
      <c r="AO149" s="30"/>
      <c r="AP149" s="30"/>
      <c r="AQ149" s="30"/>
      <c r="AR149" s="30"/>
      <c r="AS149" s="30"/>
      <c r="AT149" s="492"/>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2"/>
    </row>
    <row r="150" spans="1:78" s="142" customFormat="1" ht="12.75" hidden="1" customHeight="1" thickBot="1">
      <c r="A150" s="808"/>
      <c r="B150" s="166"/>
      <c r="C150" s="814" t="s">
        <v>5</v>
      </c>
      <c r="D150" s="512" t="str">
        <f>Translations!$B$622</f>
        <v>VD:</v>
      </c>
      <c r="E150" s="1162" t="str">
        <f>Translations!$B$668</f>
        <v>Pradinis kiekis:</v>
      </c>
      <c r="F150" s="1180"/>
      <c r="G150" s="1163" t="str">
        <f>Translations!$B$669</f>
        <v>Galutinis kiekis:</v>
      </c>
      <c r="H150" s="1180"/>
      <c r="I150" s="1163" t="str">
        <f>Translations!$B$670</f>
        <v>Įsigytas kiekis:</v>
      </c>
      <c r="J150" s="1180"/>
      <c r="K150" s="1163" t="str">
        <f>Translations!$B$671</f>
        <v>Perduotas kiekis:</v>
      </c>
      <c r="L150" s="1180"/>
      <c r="M150" s="1164" t="str">
        <f>IF(AND(L148=TRUE,COUNT(F150,H150,J150,L150)&lt;4),EUconst_ERR_Incomplete,"")</f>
        <v/>
      </c>
      <c r="O150" s="733"/>
      <c r="P150" s="23"/>
      <c r="Q150" s="23"/>
      <c r="R150" s="23"/>
      <c r="S150" s="23"/>
      <c r="T150" s="23"/>
      <c r="U150" s="23"/>
      <c r="V150" s="30"/>
      <c r="W150" s="30"/>
      <c r="X150" s="30"/>
      <c r="Y150" s="494"/>
      <c r="Z150" s="30"/>
      <c r="AA150" s="30"/>
      <c r="AB150" s="30"/>
      <c r="AC150" s="1172" t="b">
        <f>AC148</f>
        <v>0</v>
      </c>
      <c r="AD150" s="30"/>
      <c r="AE150" s="30"/>
      <c r="AF150" s="58"/>
      <c r="AG150" s="30"/>
      <c r="AH150" s="30"/>
      <c r="AI150" s="30"/>
      <c r="AJ150" s="504"/>
      <c r="AK150" s="504"/>
      <c r="AL150" s="342"/>
      <c r="AM150" s="30"/>
      <c r="AN150" s="30"/>
      <c r="AO150" s="30"/>
      <c r="AP150" s="30"/>
      <c r="AQ150" s="30"/>
      <c r="AR150" s="30"/>
      <c r="AS150" s="30"/>
      <c r="AT150" s="1172" t="b">
        <f>AND(AT148=TRUE,L148="")</f>
        <v>1</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2" t="b">
        <f>OR(BZ148,AND(NOT(ISBLANK(L148)),L148=FALSE))</f>
        <v>1</v>
      </c>
    </row>
    <row r="151" spans="1:78" s="142" customFormat="1" ht="5.0999999999999996" hidden="1" customHeight="1">
      <c r="A151" s="808"/>
      <c r="B151" s="166"/>
      <c r="C151" s="166"/>
      <c r="D151" s="166"/>
      <c r="E151" s="166"/>
      <c r="F151" s="166"/>
      <c r="G151" s="166"/>
      <c r="M151" s="143"/>
      <c r="N151" s="143"/>
      <c r="O151" s="733"/>
      <c r="P151" s="23"/>
      <c r="Q151" s="23"/>
      <c r="R151" s="23"/>
      <c r="S151" s="23"/>
      <c r="T151" s="23"/>
      <c r="U151" s="23"/>
      <c r="V151" s="30"/>
      <c r="W151" s="30"/>
      <c r="X151" s="30"/>
      <c r="Y151" s="494"/>
      <c r="Z151" s="30"/>
      <c r="AA151" s="30"/>
      <c r="AB151" s="30"/>
      <c r="AC151" s="30"/>
      <c r="AD151" s="30"/>
      <c r="AE151" s="30"/>
      <c r="AF151" s="58"/>
      <c r="AG151" s="30"/>
      <c r="AH151" s="30"/>
      <c r="AI151" s="30"/>
      <c r="AJ151" s="504"/>
      <c r="AK151" s="504"/>
      <c r="AL151" s="342"/>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hidden="1" customHeight="1" thickBot="1">
      <c r="A152" s="808"/>
      <c r="B152" s="166"/>
      <c r="C152" s="166"/>
      <c r="D152" s="166"/>
      <c r="E152" s="166"/>
      <c r="F152" s="506" t="str">
        <f>Translations!$B$333</f>
        <v>Pakopa</v>
      </c>
      <c r="G152" s="1557" t="str">
        <f>Translations!$B$672</f>
        <v>pakopos aprašas</v>
      </c>
      <c r="H152" s="1557"/>
      <c r="I152" s="1555" t="str">
        <f>Translations!$B$158</f>
        <v>Vienetas</v>
      </c>
      <c r="J152" s="1555"/>
      <c r="K152" s="1555" t="str">
        <f>Translations!$B$673</f>
        <v>Vertė</v>
      </c>
      <c r="L152" s="1555"/>
      <c r="M152" s="507" t="str">
        <f>Translations!$B$610</f>
        <v>klaida</v>
      </c>
      <c r="O152" s="733"/>
      <c r="P152" s="508"/>
      <c r="Q152" s="352" t="str">
        <f>EUconst_SumEnergyIN &amp; "_" &amp; K143</f>
        <v>SUM_EnergyIN_</v>
      </c>
      <c r="R152" s="399" t="str">
        <f>IF(OR(K143="",T144)=TRUE,"",INDEX(BC158:BE158,MATCH(K143,BC153:BE153,0)))</f>
        <v/>
      </c>
      <c r="S152" s="30"/>
      <c r="T152" s="489"/>
      <c r="U152" s="30"/>
      <c r="V152" s="509" t="s">
        <v>303</v>
      </c>
      <c r="W152" s="30"/>
      <c r="X152" s="30"/>
      <c r="Y152" s="494" t="s">
        <v>566</v>
      </c>
      <c r="Z152" s="494" t="s">
        <v>318</v>
      </c>
      <c r="AA152" s="30"/>
      <c r="AB152" s="30"/>
      <c r="AC152" s="505" t="s">
        <v>309</v>
      </c>
      <c r="AD152" s="30"/>
      <c r="AE152" s="30"/>
      <c r="AF152" s="492" t="s">
        <v>305</v>
      </c>
      <c r="AG152" s="492" t="s">
        <v>306</v>
      </c>
      <c r="AH152" s="494" t="s">
        <v>304</v>
      </c>
      <c r="AI152" s="504" t="s">
        <v>307</v>
      </c>
      <c r="AJ152" s="504" t="s">
        <v>567</v>
      </c>
      <c r="AK152" s="510" t="s">
        <v>311</v>
      </c>
      <c r="AL152" s="342"/>
      <c r="AM152" s="30"/>
      <c r="AN152" s="492" t="s">
        <v>305</v>
      </c>
      <c r="AO152" s="492" t="s">
        <v>306</v>
      </c>
      <c r="AP152" s="511" t="s">
        <v>310</v>
      </c>
      <c r="AQ152" s="504" t="s">
        <v>569</v>
      </c>
      <c r="AR152" s="504" t="s">
        <v>568</v>
      </c>
      <c r="AS152" s="510" t="s">
        <v>311</v>
      </c>
      <c r="AT152" s="510" t="s">
        <v>311</v>
      </c>
      <c r="AU152" s="30"/>
      <c r="AV152" s="492"/>
      <c r="AW152" s="492"/>
      <c r="AX152" s="492" t="s">
        <v>321</v>
      </c>
      <c r="AY152" s="492"/>
      <c r="AZ152" s="492"/>
      <c r="BA152" s="492"/>
      <c r="BB152" s="492"/>
      <c r="BC152" s="492"/>
      <c r="BD152" s="492"/>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3" t="s">
        <v>262</v>
      </c>
    </row>
    <row r="153" spans="1:78" s="142" customFormat="1" ht="12.75" hidden="1" customHeight="1" thickBot="1">
      <c r="A153" s="808"/>
      <c r="B153" s="166"/>
      <c r="C153" s="777" t="s">
        <v>196</v>
      </c>
      <c r="D153" s="512" t="str">
        <f>Translations!$B$622</f>
        <v>VD:</v>
      </c>
      <c r="E153" s="513"/>
      <c r="F153" s="402"/>
      <c r="G153" s="1532" t="str">
        <f>IF(OR(ISBLANK(F153),F153=EUconst_NoTier),"",IF(Z153=0,EUconst_NA,IF(ISERROR(Z153),"",Z153)))</f>
        <v/>
      </c>
      <c r="H153" s="1533"/>
      <c r="I153" s="1165" t="str">
        <f>IF(J153&lt;&gt;"","",AI153)</f>
        <v/>
      </c>
      <c r="J153" s="1166"/>
      <c r="K153" s="1173" t="str">
        <f>IF(L153="",AQ153,"")</f>
        <v/>
      </c>
      <c r="L153" s="1256"/>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0"/>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0"/>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2" t="b">
        <f>AND(AC153=TRUE,OR(L153&lt;&gt;"",AQ153=""))</f>
        <v>0</v>
      </c>
      <c r="AT153" s="1172" t="b">
        <f>AND(AC153=TRUE,NOT(AS153))</f>
        <v>0</v>
      </c>
      <c r="AU153" s="30"/>
      <c r="AV153" s="492" t="s">
        <v>314</v>
      </c>
      <c r="AW153" s="492" t="s">
        <v>319</v>
      </c>
      <c r="AX153" s="524"/>
      <c r="AY153" s="30" t="s">
        <v>542</v>
      </c>
      <c r="AZ153" s="30"/>
      <c r="BA153" s="30"/>
      <c r="BB153" s="504"/>
      <c r="BC153" s="493" t="str">
        <f>EUconst_Fuel</f>
        <v>Degimas</v>
      </c>
      <c r="BD153" s="493" t="str">
        <f>EUconst_ProcessCarbonate</f>
        <v>Proceso metu išsiskiriančios ŠESD</v>
      </c>
      <c r="BE153" s="493"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4" t="b">
        <f>BZ148</f>
        <v>1</v>
      </c>
    </row>
    <row r="154" spans="1:78" s="142" customFormat="1" ht="5.0999999999999996" hidden="1" customHeight="1">
      <c r="A154" s="808"/>
      <c r="B154" s="166"/>
      <c r="C154" s="814"/>
      <c r="D154" s="306"/>
      <c r="F154" s="143"/>
      <c r="G154" s="143"/>
      <c r="H154" s="143" t="s">
        <v>236</v>
      </c>
      <c r="I154" s="525"/>
      <c r="J154" s="525"/>
      <c r="K154" s="143"/>
      <c r="L154" s="143"/>
      <c r="M154" s="710"/>
      <c r="O154" s="733"/>
      <c r="P154" s="33"/>
      <c r="Q154" s="33"/>
      <c r="R154" s="33"/>
      <c r="S154" s="30"/>
      <c r="T154" s="155"/>
      <c r="U154" s="497"/>
      <c r="V154" s="30"/>
      <c r="W154" s="30"/>
      <c r="X154" s="497"/>
      <c r="Y154" s="526"/>
      <c r="Z154" s="30"/>
      <c r="AA154" s="30"/>
      <c r="AB154" s="30"/>
      <c r="AC154" s="30"/>
      <c r="AD154" s="30"/>
      <c r="AE154" s="30"/>
      <c r="AF154" s="30"/>
      <c r="AG154" s="30"/>
      <c r="AH154" s="30"/>
      <c r="AI154" s="30"/>
      <c r="AJ154" s="30"/>
      <c r="AK154" s="30"/>
      <c r="AL154" s="342"/>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3"/>
    </row>
    <row r="155" spans="1:78" s="142" customFormat="1" ht="12.75" hidden="1" customHeight="1" thickBot="1">
      <c r="A155" s="808"/>
      <c r="B155" s="166"/>
      <c r="C155" s="814" t="s">
        <v>197</v>
      </c>
      <c r="D155" s="512" t="str">
        <f>Translations!$B$634</f>
        <v>(prelim.) ITF:</v>
      </c>
      <c r="E155" s="513"/>
      <c r="F155" s="527"/>
      <c r="G155" s="1532" t="str">
        <f t="shared" ref="G155:G161" si="21">IF(OR(ISBLANK(F155),F155=EUconst_NoTier),"",IF(Z155=0,EUconst_NotApplicable,IF(ISERROR(Z155),"",Z155)))</f>
        <v/>
      </c>
      <c r="H155" s="1556"/>
      <c r="I155" s="1167" t="str">
        <f>IF(J155&lt;&gt;"","",AI155)</f>
        <v/>
      </c>
      <c r="J155" s="1168"/>
      <c r="K155" s="528" t="str">
        <f t="shared" ref="K155:K161" si="22">IF(L155="",AQ155,"")</f>
        <v/>
      </c>
      <c r="L155" s="529"/>
      <c r="M155" s="709" t="str">
        <f>IF(AND(E144&lt;&gt;"",OR(F155="",COUNT(K155:L155)=0),Y155&lt;&gt;EUconst_NA,T144&lt;&gt;TRUE),EUconst_ERR_Incomplete,IF(COUNTIF(AX155:AZ155,TRUE)&gt;0,EUconst_ERR_Inconsistent,""))</f>
        <v/>
      </c>
      <c r="N155" s="495"/>
      <c r="O155" s="733"/>
      <c r="P155" s="33"/>
      <c r="Q155" s="33"/>
      <c r="R155" s="33"/>
      <c r="S155" s="30"/>
      <c r="T155" s="530" t="str">
        <f>EUconst_CNTR_EF&amp;E144</f>
        <v>EF_</v>
      </c>
      <c r="U155" s="497"/>
      <c r="V155" s="531" t="str">
        <f>V153</f>
        <v/>
      </c>
      <c r="W155" s="30"/>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0"/>
      <c r="AC155" s="535" t="b">
        <f>AND(AC153,Y155&lt;&gt;EUconst_NA)</f>
        <v>0</v>
      </c>
      <c r="AD155" s="30"/>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0"/>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0"/>
      <c r="BA155" s="30"/>
      <c r="BB155" s="547" t="s">
        <v>594</v>
      </c>
      <c r="BC155" s="546" t="str">
        <f>IF(K143=BC153,AR153*IF(AJ155=EUconst_tCO2pTJ,(AR156/1000),1)*AR155*AR157*AR161,"")</f>
        <v/>
      </c>
      <c r="BD155" s="524" t="str">
        <f>IF(K143=BD153,AR153*AR155*AR158*AR161,"")</f>
        <v/>
      </c>
      <c r="BE155" s="523"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1" t="b">
        <f>OR(BZ153,Y155=EUconst_NA)</f>
        <v>1</v>
      </c>
    </row>
    <row r="156" spans="1:78" s="142" customFormat="1" ht="12.75" hidden="1" customHeight="1" thickBot="1">
      <c r="A156" s="808"/>
      <c r="B156" s="166"/>
      <c r="C156" s="814" t="s">
        <v>198</v>
      </c>
      <c r="D156" s="512" t="str">
        <f>Translations!$B$636</f>
        <v>GŠV:</v>
      </c>
      <c r="E156" s="513"/>
      <c r="F156" s="548"/>
      <c r="G156" s="1532" t="str">
        <f t="shared" si="21"/>
        <v/>
      </c>
      <c r="H156" s="1533"/>
      <c r="I156" s="1169" t="str">
        <f>AJ156</f>
        <v/>
      </c>
      <c r="J156" s="549"/>
      <c r="K156" s="550" t="str">
        <f t="shared" si="22"/>
        <v/>
      </c>
      <c r="L156" s="551"/>
      <c r="M156" s="709" t="str">
        <f>IF(AND(E144&lt;&gt;"",OR(F156="",COUNT(K156:L156)=0),Y156&lt;&gt;EUconst_NA,T144&lt;&gt;TRUE),EUconst_ERR_Incomplete,IF(COUNTIF(AX156:AZ156,TRUE)&gt;0,EUconst_ERR_Inconsistent,""))</f>
        <v/>
      </c>
      <c r="O156" s="733"/>
      <c r="P156" s="33"/>
      <c r="Q156" s="33"/>
      <c r="R156" s="33"/>
      <c r="S156" s="30"/>
      <c r="T156" s="552" t="str">
        <f>EUconst_CNTR_NCV&amp;E144</f>
        <v>NCV_</v>
      </c>
      <c r="U156" s="497"/>
      <c r="V156" s="553" t="str">
        <f t="shared" ref="V156:V161" si="27">V155</f>
        <v/>
      </c>
      <c r="W156" s="30"/>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0"/>
      <c r="AC156" s="557" t="b">
        <f>AND(AC153,Y156&lt;&gt;EUconst_NA)</f>
        <v>0</v>
      </c>
      <c r="AD156" s="30"/>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0"/>
      <c r="AV156" s="567" t="b">
        <f t="shared" si="24"/>
        <v>0</v>
      </c>
      <c r="AW156" s="568" t="b">
        <f t="shared" si="25"/>
        <v>0</v>
      </c>
      <c r="AX156" s="30"/>
      <c r="AY156" s="553" t="b">
        <f t="shared" si="26"/>
        <v>0</v>
      </c>
      <c r="AZ156" s="30"/>
      <c r="BA156" s="30"/>
      <c r="BB156" s="547" t="s">
        <v>595</v>
      </c>
      <c r="BC156" s="546" t="str">
        <f>IF(K143=BC153,AR153*IF(AJ155=EUconst_tCO2pTJ,(AR156/1000),1)*AR155*AR157*AR160,"")</f>
        <v/>
      </c>
      <c r="BD156" s="524" t="str">
        <f>IF(K143=BD153,AR153*AR155*AR158*AR160,"")</f>
        <v/>
      </c>
      <c r="BE156" s="523"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3" t="b">
        <f>OR(BZ153,Y156=EUconst_NA)</f>
        <v>1</v>
      </c>
    </row>
    <row r="157" spans="1:78" s="142" customFormat="1" ht="12.75" hidden="1" customHeight="1" thickBot="1">
      <c r="A157" s="808"/>
      <c r="B157" s="166"/>
      <c r="C157" s="814" t="s">
        <v>199</v>
      </c>
      <c r="D157" s="512" t="str">
        <f>Translations!$B$638</f>
        <v>OksK:</v>
      </c>
      <c r="E157" s="513"/>
      <c r="F157" s="548"/>
      <c r="G157" s="1532" t="str">
        <f t="shared" si="21"/>
        <v/>
      </c>
      <c r="H157" s="1533"/>
      <c r="I157" s="1170"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3"/>
      <c r="Q157" s="33"/>
      <c r="R157" s="33"/>
      <c r="S157" s="30"/>
      <c r="T157" s="552" t="str">
        <f>EUconst_CNTR_OxidationFactor&amp;E144</f>
        <v>OxF_</v>
      </c>
      <c r="U157" s="497"/>
      <c r="V157" s="553" t="str">
        <f t="shared" si="27"/>
        <v/>
      </c>
      <c r="W157" s="30"/>
      <c r="X157" s="497"/>
      <c r="Y157" s="554" t="str">
        <f>IF(OR(T144=TRUE,E144=""),"",INDEX(EUwideConstants!$N:$N,MATCH(T157,EUwideConstants!$Q:$Q,0)))</f>
        <v/>
      </c>
      <c r="Z157" s="555" t="str">
        <f>IF(ISBLANK(F157),"",IF(F157=EUconst_NA,"",INDEX(EUwideConstants!$H:$M,MATCH(T157,EUwideConstants!$Q:$Q,0),MATCH(F157,CNTR_TierList,0))))</f>
        <v/>
      </c>
      <c r="AA157" s="534" t="str">
        <f>IF(F157=1,1,"")</f>
        <v/>
      </c>
      <c r="AB157" s="30"/>
      <c r="AC157" s="557" t="b">
        <f>AND(AC153,Y157&lt;&gt;EUconst_NA)</f>
        <v>0</v>
      </c>
      <c r="AD157" s="30"/>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0"/>
      <c r="AV157" s="567" t="b">
        <f t="shared" si="24"/>
        <v>0</v>
      </c>
      <c r="AW157" s="568" t="b">
        <f t="shared" si="25"/>
        <v>0</v>
      </c>
      <c r="AX157" s="30"/>
      <c r="AY157" s="594" t="b">
        <f t="shared" si="26"/>
        <v>0</v>
      </c>
      <c r="AZ157" s="531" t="b">
        <f>AR157&gt;100%</f>
        <v>0</v>
      </c>
      <c r="BA157" s="30"/>
      <c r="BB157" s="547" t="s">
        <v>290</v>
      </c>
      <c r="BC157" s="546" t="str">
        <f>IF(K143=BC153,AR153*IF(AJ155=EUconst_tCO2pTJ,(AR156/1000),1)*AR155*AR157*(1-AR160),"")</f>
        <v/>
      </c>
      <c r="BD157" s="524" t="str">
        <f>IF(K143=BD153,AR153*AR155*AR158*(1-AR160),"")</f>
        <v/>
      </c>
      <c r="BE157" s="523"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3" t="b">
        <f>OR(BZ153,Y157=EUconst_NA)</f>
        <v>1</v>
      </c>
    </row>
    <row r="158" spans="1:78" s="142" customFormat="1" ht="12.75" hidden="1" customHeight="1" thickBot="1">
      <c r="A158" s="808"/>
      <c r="B158" s="166"/>
      <c r="C158" s="814" t="s">
        <v>200</v>
      </c>
      <c r="D158" s="512" t="str">
        <f>Translations!$B$639</f>
        <v>KonvK:</v>
      </c>
      <c r="E158" s="513"/>
      <c r="F158" s="548"/>
      <c r="G158" s="1532" t="str">
        <f t="shared" si="21"/>
        <v/>
      </c>
      <c r="H158" s="1533"/>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3"/>
      <c r="Q158" s="33"/>
      <c r="R158" s="33"/>
      <c r="S158" s="30"/>
      <c r="T158" s="552" t="str">
        <f>EUconst_CNTR_ConversionFactor&amp;E144</f>
        <v>ConvF_</v>
      </c>
      <c r="U158" s="497"/>
      <c r="V158" s="553" t="str">
        <f t="shared" si="27"/>
        <v/>
      </c>
      <c r="W158" s="30"/>
      <c r="X158" s="497"/>
      <c r="Y158" s="554" t="str">
        <f>IF(OR(T144=TRUE,E144=""),"",INDEX(EUwideConstants!$N:$N,MATCH(T158,EUwideConstants!$Q:$Q,0)))</f>
        <v/>
      </c>
      <c r="Z158" s="555" t="str">
        <f>IF(ISBLANK(F158),"",IF(F158=EUconst_NA,"",INDEX(EUwideConstants!$H:$M,MATCH(T158,EUwideConstants!$Q:$Q,0),MATCH(F158,CNTR_TierList,0))))</f>
        <v/>
      </c>
      <c r="AA158" s="582" t="str">
        <f>IF(F158=1,1,"")</f>
        <v/>
      </c>
      <c r="AB158" s="30"/>
      <c r="AC158" s="557" t="b">
        <f>AND(AC153,Y158&lt;&gt;EUconst_NA)</f>
        <v>0</v>
      </c>
      <c r="AD158" s="30"/>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0"/>
      <c r="AV158" s="567" t="b">
        <f t="shared" si="24"/>
        <v>0</v>
      </c>
      <c r="AW158" s="568" t="b">
        <f t="shared" si="25"/>
        <v>0</v>
      </c>
      <c r="AX158" s="30"/>
      <c r="AY158" s="594" t="b">
        <f t="shared" si="26"/>
        <v>0</v>
      </c>
      <c r="AZ158" s="580" t="b">
        <f>AR158&gt;100%</f>
        <v>0</v>
      </c>
      <c r="BA158" s="30"/>
      <c r="BB158" s="578" t="s">
        <v>487</v>
      </c>
      <c r="BC158" s="579">
        <f>AR153*AR156/1000*(1-AR160)</f>
        <v>0</v>
      </c>
      <c r="BD158" s="580">
        <f>BC158</f>
        <v>0</v>
      </c>
      <c r="BE158" s="581">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3" t="b">
        <f>OR(BZ153,Y158=EUconst_NA)</f>
        <v>1</v>
      </c>
    </row>
    <row r="159" spans="1:78" s="142" customFormat="1" ht="12.75" hidden="1" customHeight="1" thickBot="1">
      <c r="A159" s="808"/>
      <c r="B159" s="166"/>
      <c r="C159" s="814" t="s">
        <v>329</v>
      </c>
      <c r="D159" s="512" t="str">
        <f>Translations!$B$640</f>
        <v>AnglK:</v>
      </c>
      <c r="E159" s="513"/>
      <c r="F159" s="548"/>
      <c r="G159" s="1532" t="str">
        <f t="shared" si="21"/>
        <v/>
      </c>
      <c r="H159" s="1533"/>
      <c r="I159" s="1170" t="str">
        <f>AJ159</f>
        <v/>
      </c>
      <c r="J159" s="586"/>
      <c r="K159" s="587" t="str">
        <f t="shared" si="22"/>
        <v/>
      </c>
      <c r="L159" s="588"/>
      <c r="M159" s="709" t="str">
        <f>IF(AND(E144&lt;&gt;"",OR(F159="",COUNT(K159:L159)=0),Y159&lt;&gt;EUconst_NA,T144&lt;&gt;TRUE),EUconst_ERR_Incomplete,IF(COUNTIF(AX159:AZ159,TRUE)&gt;0,EUconst_ERR_Inconsistent,""))</f>
        <v/>
      </c>
      <c r="O159" s="733"/>
      <c r="P159" s="33"/>
      <c r="Q159" s="33"/>
      <c r="R159" s="33"/>
      <c r="S159" s="30"/>
      <c r="T159" s="552" t="str">
        <f>EUconst_CNTR_CarbonContent&amp;E144</f>
        <v>CarbC_</v>
      </c>
      <c r="U159" s="497"/>
      <c r="V159" s="553" t="str">
        <f t="shared" si="27"/>
        <v/>
      </c>
      <c r="W159" s="30"/>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0"/>
      <c r="AC159" s="557" t="b">
        <f>AND(AC153,Y159&lt;&gt;EUconst_NA)</f>
        <v>0</v>
      </c>
      <c r="AD159" s="30"/>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0"/>
      <c r="AV159" s="567" t="b">
        <f t="shared" si="24"/>
        <v>0</v>
      </c>
      <c r="AW159" s="568" t="b">
        <f t="shared" si="25"/>
        <v>0</v>
      </c>
      <c r="AX159" s="546" t="b">
        <f>OR(AND(AJ153=EUconst_kNm3,AJ159=EUconst_tCpt),AND(AJ153=EUconst_t,AJ159=EUconst_tCpkNm3))</f>
        <v>0</v>
      </c>
      <c r="AY159" s="553" t="b">
        <f t="shared" si="26"/>
        <v>0</v>
      </c>
      <c r="AZ159" s="30"/>
      <c r="BA159" s="30"/>
      <c r="BB159" s="578" t="s">
        <v>488</v>
      </c>
      <c r="BC159" s="579">
        <f>AR153*AR156/1000*AR160</f>
        <v>0</v>
      </c>
      <c r="BD159" s="580">
        <f>BC159</f>
        <v>0</v>
      </c>
      <c r="BE159" s="581">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53" t="b">
        <f>OR(BZ153,Y159=EUconst_NA)</f>
        <v>1</v>
      </c>
    </row>
    <row r="160" spans="1:78" s="142" customFormat="1" ht="12.75" hidden="1" customHeight="1">
      <c r="A160" s="808"/>
      <c r="B160" s="166"/>
      <c r="C160" s="777" t="s">
        <v>330</v>
      </c>
      <c r="D160" s="512" t="str">
        <f>Translations!$B$641</f>
        <v>BioC:</v>
      </c>
      <c r="E160" s="513"/>
      <c r="F160" s="548"/>
      <c r="G160" s="1532" t="str">
        <f t="shared" si="21"/>
        <v/>
      </c>
      <c r="H160" s="1533"/>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0"/>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0"/>
      <c r="AC160" s="557" t="b">
        <f>AND(AC153,Y160&lt;&gt;EUconst_NA)</f>
        <v>0</v>
      </c>
      <c r="AD160" s="30"/>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0"/>
      <c r="AV160" s="567" t="b">
        <f t="shared" si="24"/>
        <v>0</v>
      </c>
      <c r="AW160" s="568" t="b">
        <f t="shared" si="25"/>
        <v>0</v>
      </c>
      <c r="AX160" s="30"/>
      <c r="AY160" s="594" t="b">
        <f t="shared" si="26"/>
        <v>0</v>
      </c>
      <c r="AZ160" s="531"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3" t="b">
        <f>OR(BZ153,Y160=EUconst_NA)</f>
        <v>1</v>
      </c>
    </row>
    <row r="161" spans="1:78" s="142" customFormat="1" ht="12.75" hidden="1" customHeight="1" thickBot="1">
      <c r="A161" s="808"/>
      <c r="B161" s="166"/>
      <c r="C161" s="777" t="s">
        <v>454</v>
      </c>
      <c r="D161" s="512" t="str">
        <f>Translations!$B$647</f>
        <v>Netvar. BioC:</v>
      </c>
      <c r="E161" s="513"/>
      <c r="F161" s="597"/>
      <c r="G161" s="1532" t="str">
        <f t="shared" si="21"/>
        <v/>
      </c>
      <c r="H161" s="1533"/>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0"/>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0"/>
      <c r="AC161" s="603" t="b">
        <f>AND(AC153,Y161&lt;&gt;EUconst_NA)</f>
        <v>0</v>
      </c>
      <c r="AD161" s="30"/>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0"/>
      <c r="AV161" s="613" t="b">
        <f t="shared" si="24"/>
        <v>0</v>
      </c>
      <c r="AW161" s="614" t="b">
        <f t="shared" si="25"/>
        <v>0</v>
      </c>
      <c r="AX161" s="30"/>
      <c r="AY161" s="579" t="b">
        <f t="shared" si="26"/>
        <v>0</v>
      </c>
      <c r="AZ161" s="580"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80" t="b">
        <f>OR(BZ153,Y161=EUconst_NA)</f>
        <v>1</v>
      </c>
    </row>
    <row r="162" spans="1:78" s="142" customFormat="1" ht="5.0999999999999996" hidden="1" customHeight="1">
      <c r="A162" s="808"/>
      <c r="B162" s="166"/>
      <c r="C162" s="166"/>
      <c r="D162" s="180"/>
      <c r="O162" s="733"/>
      <c r="P162" s="33"/>
      <c r="Q162" s="33"/>
      <c r="R162" s="33"/>
      <c r="S162" s="174"/>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hidden="1" customHeight="1">
      <c r="A163" s="808"/>
      <c r="B163" s="166"/>
      <c r="C163" s="166"/>
      <c r="D163" s="1558" t="str">
        <f>Translations!$B$674</f>
        <v>Pakopos galioja nuo:</v>
      </c>
      <c r="E163" s="1558"/>
      <c r="F163" s="1559"/>
      <c r="G163" s="1052"/>
      <c r="H163" s="615" t="str">
        <f>Translations!$B$675</f>
        <v>iki:</v>
      </c>
      <c r="I163" s="1052"/>
      <c r="J163" s="1536" t="str">
        <f>Translations!$B$676</f>
        <v>Atliekų katalogo numeris (jeigu taikytina):</v>
      </c>
      <c r="K163" s="1537"/>
      <c r="L163" s="1537"/>
      <c r="M163" s="1538"/>
      <c r="N163" s="1289"/>
      <c r="O163" s="733"/>
      <c r="P163" s="33"/>
      <c r="Q163" s="33"/>
      <c r="R163" s="33"/>
      <c r="S163" s="1290"/>
      <c r="T163" s="492"/>
      <c r="U163" s="492"/>
      <c r="V163" s="48" t="b">
        <f>IF(V153="",FALSE,INDEX(CNTR_IsWaste,MATCH(V153,MSParameters!$A$218:$A$376,0)))</f>
        <v>0</v>
      </c>
      <c r="W163" s="1290"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2" customFormat="1" ht="5.0999999999999996" hidden="1" customHeight="1">
      <c r="A164" s="808"/>
      <c r="B164" s="166"/>
      <c r="C164" s="166"/>
      <c r="D164" s="615"/>
      <c r="E164" s="495"/>
      <c r="F164" s="495"/>
      <c r="G164" s="495"/>
      <c r="H164" s="495"/>
      <c r="I164" s="495"/>
      <c r="J164" s="495"/>
      <c r="K164" s="495"/>
      <c r="L164" s="495"/>
      <c r="M164" s="495"/>
      <c r="N164" s="495"/>
      <c r="O164" s="733"/>
      <c r="P164" s="33"/>
      <c r="Q164" s="33"/>
      <c r="R164" s="33"/>
      <c r="S164" s="174"/>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hidden="1" customHeight="1">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3"/>
      <c r="Q165" s="33"/>
      <c r="R165" s="33"/>
      <c r="S165" s="174"/>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2" customFormat="1" ht="5.0999999999999996" hidden="1" customHeight="1">
      <c r="A166" s="815"/>
      <c r="D166" s="180"/>
      <c r="O166" s="573"/>
      <c r="P166" s="497"/>
      <c r="Q166" s="497"/>
      <c r="R166" s="497"/>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hidden="1">
      <c r="A167" s="815"/>
      <c r="D167" s="1534" t="str">
        <f>Translations!$B$160</f>
        <v>Pastabos:</v>
      </c>
      <c r="E167" s="1535"/>
      <c r="F167" s="1539"/>
      <c r="G167" s="1540"/>
      <c r="H167" s="1540"/>
      <c r="I167" s="1540"/>
      <c r="J167" s="1540"/>
      <c r="K167" s="1540"/>
      <c r="L167" s="1540"/>
      <c r="M167" s="1540"/>
      <c r="N167" s="1541"/>
      <c r="O167" s="573"/>
      <c r="P167" s="497"/>
      <c r="Q167" s="497"/>
      <c r="R167" s="497"/>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hidden="1" customHeight="1" thickBot="1">
      <c r="A168" s="808"/>
      <c r="B168" s="495"/>
      <c r="C168" s="499"/>
      <c r="D168" s="500"/>
      <c r="E168" s="501"/>
      <c r="F168" s="499"/>
      <c r="G168" s="502"/>
      <c r="H168" s="502"/>
      <c r="I168" s="502"/>
      <c r="J168" s="502"/>
      <c r="K168" s="502"/>
      <c r="L168" s="502"/>
      <c r="M168" s="502"/>
      <c r="N168" s="502"/>
      <c r="O168" s="740"/>
      <c r="P168" s="494"/>
      <c r="Q168" s="494"/>
      <c r="R168" s="494"/>
      <c r="S168" s="58"/>
      <c r="T168" s="58"/>
      <c r="U168" s="498"/>
      <c r="V168" s="58"/>
      <c r="W168" s="58"/>
      <c r="X168" s="49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hidden="1" customHeight="1" thickBot="1">
      <c r="A169" s="813"/>
      <c r="B169" s="495"/>
      <c r="C169" s="495"/>
      <c r="D169" s="180"/>
      <c r="E169" s="496"/>
      <c r="F169" s="495"/>
      <c r="G169" s="487"/>
      <c r="H169" s="487"/>
      <c r="I169" s="487"/>
      <c r="J169" s="487"/>
      <c r="K169" s="495"/>
      <c r="L169" s="487"/>
      <c r="M169" s="487"/>
      <c r="N169" s="487"/>
      <c r="O169" s="740"/>
      <c r="P169" s="494"/>
      <c r="Q169" s="494"/>
      <c r="R169" s="494"/>
      <c r="S169" s="23"/>
      <c r="T169" s="27" t="str">
        <f>IF(ISBLANK(E170),"",MATCH(E170,CNTR_SourceStreamNames,0))</f>
        <v/>
      </c>
      <c r="U169" s="618"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1"/>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3" t="s">
        <v>262</v>
      </c>
    </row>
    <row r="170" spans="1:78" s="142" customFormat="1" ht="15" hidden="1" customHeight="1" thickBot="1">
      <c r="A170" s="869" t="str">
        <f>IF(E170="","","PRINT")</f>
        <v/>
      </c>
      <c r="B170" s="166"/>
      <c r="C170" s="617">
        <f>C143+1</f>
        <v>5</v>
      </c>
      <c r="D170" s="166"/>
      <c r="E170" s="1542"/>
      <c r="F170" s="1543"/>
      <c r="G170" s="1543"/>
      <c r="H170" s="1543"/>
      <c r="I170" s="1543"/>
      <c r="J170" s="1544"/>
      <c r="K170" s="1545" t="str">
        <f>IF(E171="","",INDEX(EUwideConstants!$F$353:$F$394,MATCH(E171,EUConst_TierActivityListNames,0)))</f>
        <v/>
      </c>
      <c r="L170" s="1546"/>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3"/>
      <c r="T170" s="509" t="s">
        <v>393</v>
      </c>
      <c r="U170" s="23"/>
      <c r="V170" s="78"/>
      <c r="W170" s="56"/>
      <c r="X170" s="58"/>
      <c r="Y170" s="58"/>
      <c r="Z170" s="58"/>
      <c r="AA170" s="58"/>
      <c r="AB170" s="58"/>
      <c r="AC170" s="58"/>
      <c r="AD170" s="58"/>
      <c r="AE170" s="58"/>
      <c r="AF170" s="58"/>
      <c r="AG170" s="58"/>
      <c r="AH170" s="58"/>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6"/>
      <c r="BZ170" s="619" t="b">
        <f>CNTR_CalcRelevant=EUconst_NotRelevant</f>
        <v>0</v>
      </c>
    </row>
    <row r="171" spans="1:78" s="142" customFormat="1" ht="15" hidden="1" customHeight="1" thickBot="1">
      <c r="A171" s="808"/>
      <c r="B171" s="166"/>
      <c r="C171" s="166"/>
      <c r="D171" s="166"/>
      <c r="E171" s="1547" t="str">
        <f>IF(ISBLANK(E170),"",IF(INDEX(B_InstallationDescription!$E$71:$E$145,MATCH(U169,B_InstallationDescription!$D$71:$D$145,0))&gt;0,INDEX(B_InstallationDescription!$E$71:$E$145,MATCH(U169,B_InstallationDescription!$D$71:$D$145,0)),""))</f>
        <v/>
      </c>
      <c r="F171" s="1548"/>
      <c r="G171" s="1548"/>
      <c r="H171" s="1548"/>
      <c r="I171" s="1548"/>
      <c r="J171" s="1549"/>
      <c r="M171" s="346" t="str">
        <f>Translations!$B$666</f>
        <v>CO2, biomasės kilmės.:</v>
      </c>
      <c r="N171" s="1051" t="str">
        <f>IF(OR(K170="",T171=TRUE),"",INDEX(BC183:BE183,MATCH(K170,BC180:BE180,0)))</f>
        <v/>
      </c>
      <c r="O171" s="742" t="s">
        <v>260</v>
      </c>
      <c r="P171" s="494"/>
      <c r="Q171" s="352" t="str">
        <f>EUconst_SumBioCO2 &amp; "_" &amp; K170</f>
        <v>SUM_bioCO2_</v>
      </c>
      <c r="R171" s="494"/>
      <c r="S171" s="23"/>
      <c r="T171" s="48" t="str">
        <f>IF(E171="","",MATCH(E171,EUConst_TierActivityListNames,0)&gt;40)</f>
        <v/>
      </c>
      <c r="U171" s="23"/>
      <c r="V171" s="78"/>
      <c r="W171" s="56"/>
      <c r="X171" s="58"/>
      <c r="Y171" s="27" t="s">
        <v>93</v>
      </c>
      <c r="Z171" s="30"/>
      <c r="AA171" s="30"/>
      <c r="AB171" s="30"/>
      <c r="AC171" s="30"/>
      <c r="AD171" s="30"/>
      <c r="AE171" s="27" t="s">
        <v>302</v>
      </c>
      <c r="AF171" s="58"/>
      <c r="AG171" s="504"/>
      <c r="AH171" s="30"/>
      <c r="AI171" s="30"/>
      <c r="AJ171" s="504"/>
      <c r="AK171" s="504"/>
      <c r="AL171" s="342"/>
      <c r="AM171" s="27" t="s">
        <v>308</v>
      </c>
      <c r="AN171" s="505"/>
      <c r="AO171" s="505"/>
      <c r="AP171" s="30"/>
      <c r="AQ171" s="30"/>
      <c r="AR171" s="30"/>
      <c r="AS171" s="30"/>
      <c r="AT171" s="30"/>
      <c r="AU171" s="30"/>
      <c r="AV171" s="27" t="s">
        <v>315</v>
      </c>
      <c r="AW171" s="30"/>
      <c r="AX171" s="492"/>
      <c r="AY171" s="30"/>
      <c r="AZ171" s="30"/>
      <c r="BA171" s="30"/>
      <c r="BB171" s="27" t="s">
        <v>219</v>
      </c>
      <c r="BC171" s="30"/>
      <c r="BD171" s="30"/>
      <c r="BE171" s="30"/>
      <c r="BF171" s="30"/>
      <c r="BG171" s="27"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0"/>
      <c r="BZ171" s="30"/>
    </row>
    <row r="172" spans="1:78" s="142" customFormat="1" ht="5.0999999999999996" hidden="1" customHeight="1">
      <c r="A172" s="808"/>
      <c r="B172" s="166"/>
      <c r="C172" s="166"/>
      <c r="D172" s="166"/>
      <c r="E172" s="166"/>
      <c r="F172" s="166"/>
      <c r="G172" s="166"/>
      <c r="M172" s="143"/>
      <c r="N172" s="143"/>
      <c r="O172" s="733"/>
      <c r="P172" s="33"/>
      <c r="Q172" s="33"/>
      <c r="R172" s="33"/>
      <c r="S172" s="23"/>
      <c r="T172" s="23"/>
      <c r="U172" s="23"/>
      <c r="V172" s="78"/>
      <c r="W172" s="30"/>
      <c r="X172" s="30"/>
      <c r="Y172" s="494"/>
      <c r="Z172" s="30"/>
      <c r="AA172" s="30"/>
      <c r="AB172" s="30"/>
      <c r="AC172" s="30"/>
      <c r="AD172" s="30"/>
      <c r="AE172" s="30"/>
      <c r="AF172" s="58"/>
      <c r="AG172" s="30"/>
      <c r="AH172" s="30"/>
      <c r="AI172" s="30"/>
      <c r="AJ172" s="504"/>
      <c r="AK172" s="504"/>
      <c r="AL172" s="342"/>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hidden="1" customHeight="1" thickBot="1">
      <c r="A173" s="808"/>
      <c r="B173" s="166"/>
      <c r="C173" s="166"/>
      <c r="D173" s="166"/>
      <c r="E173" s="1550" t="str">
        <f>IF(E170="","",IF(T171=TRUE,HYPERLINK("#JUMP_14",EUconst_MsgGoOnPFC),HYPERLINK("#JUMP_E_8",EUconst_FurtherGuidancePoint1)))</f>
        <v/>
      </c>
      <c r="F173" s="1550"/>
      <c r="G173" s="1550"/>
      <c r="H173" s="1550"/>
      <c r="I173" s="1550"/>
      <c r="J173" s="1550"/>
      <c r="K173" s="1550"/>
      <c r="L173" s="1550"/>
      <c r="M173" s="1550"/>
      <c r="N173" s="143"/>
      <c r="O173" s="733"/>
      <c r="P173" s="33"/>
      <c r="Q173" s="352" t="str">
        <f>EUconst_SumNonSustBioCO2 &amp; "_" &amp; K170</f>
        <v>SUM_bioNonSustCO2_</v>
      </c>
      <c r="R173" s="707"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4"/>
      <c r="AK173" s="504"/>
      <c r="AL173" s="342"/>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hidden="1" customHeight="1">
      <c r="A174" s="808"/>
      <c r="B174" s="166"/>
      <c r="C174" s="166"/>
      <c r="D174" s="166"/>
      <c r="E174" s="166"/>
      <c r="F174" s="166"/>
      <c r="G174" s="166"/>
      <c r="M174" s="143"/>
      <c r="N174" s="143"/>
      <c r="O174" s="733"/>
      <c r="P174" s="23"/>
      <c r="Q174" s="23"/>
      <c r="R174" s="23"/>
      <c r="S174" s="23"/>
      <c r="T174" s="23"/>
      <c r="U174" s="23"/>
      <c r="V174" s="30"/>
      <c r="W174" s="30"/>
      <c r="X174" s="30"/>
      <c r="Y174" s="494"/>
      <c r="Z174" s="30"/>
      <c r="AA174" s="30"/>
      <c r="AB174" s="30"/>
      <c r="AC174" s="30"/>
      <c r="AD174" s="30"/>
      <c r="AE174" s="30"/>
      <c r="AF174" s="58"/>
      <c r="AG174" s="30"/>
      <c r="AH174" s="30"/>
      <c r="AI174" s="30"/>
      <c r="AJ174" s="504"/>
      <c r="AK174" s="504"/>
      <c r="AL174" s="342"/>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hidden="1" customHeight="1" thickBot="1">
      <c r="A175" s="808"/>
      <c r="B175" s="166"/>
      <c r="C175" s="814" t="s">
        <v>4</v>
      </c>
      <c r="D175" s="512" t="str">
        <f>Translations!$B$622</f>
        <v>VD:</v>
      </c>
      <c r="E175" s="1560" t="str">
        <f>Translations!$B$667</f>
        <v>Ar veiklos duomenys gaunami sudedant išmatuotus kiekius (t. y. ne atliekant nuolatinius matavimus)?</v>
      </c>
      <c r="F175" s="1560"/>
      <c r="G175" s="1560"/>
      <c r="H175" s="1560"/>
      <c r="I175" s="1560"/>
      <c r="J175" s="1560"/>
      <c r="K175" s="1560"/>
      <c r="L175" s="1179"/>
      <c r="M175" s="507"/>
      <c r="O175" s="733"/>
      <c r="P175" s="23"/>
      <c r="Q175" s="23"/>
      <c r="R175" s="23"/>
      <c r="S175" s="23"/>
      <c r="T175" s="23"/>
      <c r="U175" s="23"/>
      <c r="V175" s="30"/>
      <c r="W175" s="30"/>
      <c r="X175" s="30"/>
      <c r="Y175" s="494"/>
      <c r="Z175" s="30"/>
      <c r="AA175" s="30"/>
      <c r="AB175" s="30"/>
      <c r="AC175" s="1172" t="b">
        <f>AND(E170&lt;&gt;"",T171&lt;&gt;TRUE)</f>
        <v>0</v>
      </c>
      <c r="AD175" s="30"/>
      <c r="AE175" s="30"/>
      <c r="AF175" s="58"/>
      <c r="AG175" s="30"/>
      <c r="AH175" s="30"/>
      <c r="AI175" s="30"/>
      <c r="AJ175" s="504"/>
      <c r="AK175" s="504"/>
      <c r="AL175" s="342"/>
      <c r="AM175" s="30"/>
      <c r="AN175" s="30"/>
      <c r="AO175" s="30"/>
      <c r="AP175" s="30"/>
      <c r="AQ175" s="30"/>
      <c r="AR175" s="30"/>
      <c r="AS175" s="30"/>
      <c r="AT175" s="1172"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2" t="b">
        <f>OR(CNTR_CalcRelevant=EUconst_NotRelevant,AND(COUNTA(CNTR_ListRelevantSections)&gt;0,OR(T171=TRUE,E170="")))</f>
        <v>1</v>
      </c>
    </row>
    <row r="176" spans="1:78" s="142" customFormat="1" ht="5.0999999999999996" hidden="1" customHeight="1">
      <c r="A176" s="808"/>
      <c r="B176" s="166"/>
      <c r="C176" s="166"/>
      <c r="D176" s="166"/>
      <c r="E176" s="166"/>
      <c r="F176" s="166"/>
      <c r="G176" s="166"/>
      <c r="H176" s="495"/>
      <c r="I176" s="495"/>
      <c r="J176" s="495"/>
      <c r="K176" s="495"/>
      <c r="L176" s="495"/>
      <c r="M176" s="507"/>
      <c r="O176" s="733"/>
      <c r="P176" s="23"/>
      <c r="Q176" s="23"/>
      <c r="R176" s="23"/>
      <c r="S176" s="23"/>
      <c r="T176" s="23"/>
      <c r="U176" s="23"/>
      <c r="V176" s="30"/>
      <c r="W176" s="30"/>
      <c r="X176" s="30"/>
      <c r="Y176" s="494"/>
      <c r="Z176" s="30"/>
      <c r="AA176" s="30"/>
      <c r="AB176" s="30"/>
      <c r="AC176" s="492"/>
      <c r="AD176" s="30"/>
      <c r="AE176" s="30"/>
      <c r="AF176" s="58"/>
      <c r="AG176" s="30"/>
      <c r="AH176" s="30"/>
      <c r="AI176" s="30"/>
      <c r="AJ176" s="504"/>
      <c r="AK176" s="504"/>
      <c r="AL176" s="342"/>
      <c r="AM176" s="30"/>
      <c r="AN176" s="30"/>
      <c r="AO176" s="30"/>
      <c r="AP176" s="30"/>
      <c r="AQ176" s="30"/>
      <c r="AR176" s="30"/>
      <c r="AS176" s="30"/>
      <c r="AT176" s="492"/>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2"/>
    </row>
    <row r="177" spans="1:78" s="142" customFormat="1" ht="12.75" hidden="1" customHeight="1" thickBot="1">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3"/>
      <c r="Q177" s="23"/>
      <c r="R177" s="23"/>
      <c r="S177" s="23"/>
      <c r="T177" s="23"/>
      <c r="U177" s="23"/>
      <c r="V177" s="30"/>
      <c r="W177" s="30"/>
      <c r="X177" s="30"/>
      <c r="Y177" s="494"/>
      <c r="Z177" s="30"/>
      <c r="AA177" s="30"/>
      <c r="AB177" s="30"/>
      <c r="AC177" s="1172" t="b">
        <f>AC175</f>
        <v>0</v>
      </c>
      <c r="AD177" s="30"/>
      <c r="AE177" s="30"/>
      <c r="AF177" s="58"/>
      <c r="AG177" s="30"/>
      <c r="AH177" s="30"/>
      <c r="AI177" s="30"/>
      <c r="AJ177" s="504"/>
      <c r="AK177" s="504"/>
      <c r="AL177" s="342"/>
      <c r="AM177" s="30"/>
      <c r="AN177" s="30"/>
      <c r="AO177" s="30"/>
      <c r="AP177" s="30"/>
      <c r="AQ177" s="30"/>
      <c r="AR177" s="30"/>
      <c r="AS177" s="30"/>
      <c r="AT177" s="1172"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2" t="b">
        <f>OR(BZ175,AND(NOT(ISBLANK(L175)),L175=FALSE))</f>
        <v>1</v>
      </c>
    </row>
    <row r="178" spans="1:78" s="142" customFormat="1" ht="5.0999999999999996" hidden="1" customHeight="1">
      <c r="A178" s="808"/>
      <c r="B178" s="166"/>
      <c r="C178" s="166"/>
      <c r="D178" s="166"/>
      <c r="E178" s="166"/>
      <c r="F178" s="166"/>
      <c r="G178" s="166"/>
      <c r="M178" s="143"/>
      <c r="N178" s="143"/>
      <c r="O178" s="733"/>
      <c r="P178" s="23"/>
      <c r="Q178" s="23"/>
      <c r="R178" s="23"/>
      <c r="S178" s="23"/>
      <c r="T178" s="23"/>
      <c r="U178" s="23"/>
      <c r="V178" s="30"/>
      <c r="W178" s="30"/>
      <c r="X178" s="30"/>
      <c r="Y178" s="494"/>
      <c r="Z178" s="30"/>
      <c r="AA178" s="30"/>
      <c r="AB178" s="30"/>
      <c r="AC178" s="30"/>
      <c r="AD178" s="30"/>
      <c r="AE178" s="30"/>
      <c r="AF178" s="58"/>
      <c r="AG178" s="30"/>
      <c r="AH178" s="30"/>
      <c r="AI178" s="30"/>
      <c r="AJ178" s="504"/>
      <c r="AK178" s="504"/>
      <c r="AL178" s="342"/>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hidden="1" customHeight="1" thickBot="1">
      <c r="A179" s="808"/>
      <c r="B179" s="166"/>
      <c r="C179" s="166"/>
      <c r="D179" s="166"/>
      <c r="E179" s="166"/>
      <c r="F179" s="506" t="str">
        <f>Translations!$B$333</f>
        <v>Pakopa</v>
      </c>
      <c r="G179" s="1557" t="str">
        <f>Translations!$B$672</f>
        <v>pakopos aprašas</v>
      </c>
      <c r="H179" s="1557"/>
      <c r="I179" s="1555" t="str">
        <f>Translations!$B$158</f>
        <v>Vienetas</v>
      </c>
      <c r="J179" s="1555"/>
      <c r="K179" s="1555" t="str">
        <f>Translations!$B$673</f>
        <v>Vertė</v>
      </c>
      <c r="L179" s="1555"/>
      <c r="M179" s="507" t="str">
        <f>Translations!$B$610</f>
        <v>klaida</v>
      </c>
      <c r="O179" s="733"/>
      <c r="P179" s="508"/>
      <c r="Q179" s="352" t="str">
        <f>EUconst_SumEnergyIN &amp; "_" &amp; K170</f>
        <v>SUM_EnergyIN_</v>
      </c>
      <c r="R179" s="399" t="str">
        <f>IF(OR(K170="",T171)=TRUE,"",INDEX(BC185:BE185,MATCH(K170,BC180:BE180,0)))</f>
        <v/>
      </c>
      <c r="S179" s="30"/>
      <c r="T179" s="489"/>
      <c r="U179" s="30"/>
      <c r="V179" s="509" t="s">
        <v>303</v>
      </c>
      <c r="W179" s="30"/>
      <c r="X179" s="30"/>
      <c r="Y179" s="494" t="s">
        <v>566</v>
      </c>
      <c r="Z179" s="494" t="s">
        <v>318</v>
      </c>
      <c r="AA179" s="30"/>
      <c r="AB179" s="30"/>
      <c r="AC179" s="505" t="s">
        <v>309</v>
      </c>
      <c r="AD179" s="30"/>
      <c r="AE179" s="30"/>
      <c r="AF179" s="492" t="s">
        <v>305</v>
      </c>
      <c r="AG179" s="492" t="s">
        <v>306</v>
      </c>
      <c r="AH179" s="494" t="s">
        <v>304</v>
      </c>
      <c r="AI179" s="504" t="s">
        <v>307</v>
      </c>
      <c r="AJ179" s="504" t="s">
        <v>567</v>
      </c>
      <c r="AK179" s="510" t="s">
        <v>311</v>
      </c>
      <c r="AL179" s="342"/>
      <c r="AM179" s="30"/>
      <c r="AN179" s="492" t="s">
        <v>305</v>
      </c>
      <c r="AO179" s="492" t="s">
        <v>306</v>
      </c>
      <c r="AP179" s="511" t="s">
        <v>310</v>
      </c>
      <c r="AQ179" s="504" t="s">
        <v>569</v>
      </c>
      <c r="AR179" s="504" t="s">
        <v>568</v>
      </c>
      <c r="AS179" s="510" t="s">
        <v>311</v>
      </c>
      <c r="AT179" s="510" t="s">
        <v>311</v>
      </c>
      <c r="AU179" s="30"/>
      <c r="AV179" s="492"/>
      <c r="AW179" s="492"/>
      <c r="AX179" s="492" t="s">
        <v>321</v>
      </c>
      <c r="AY179" s="492"/>
      <c r="AZ179" s="492"/>
      <c r="BA179" s="492"/>
      <c r="BB179" s="492"/>
      <c r="BC179" s="492"/>
      <c r="BD179" s="492"/>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3" t="s">
        <v>262</v>
      </c>
    </row>
    <row r="180" spans="1:78" s="142" customFormat="1" ht="12.75" hidden="1" customHeight="1" thickBot="1">
      <c r="A180" s="808"/>
      <c r="B180" s="166"/>
      <c r="C180" s="777" t="s">
        <v>196</v>
      </c>
      <c r="D180" s="512" t="str">
        <f>Translations!$B$622</f>
        <v>VD:</v>
      </c>
      <c r="E180" s="513"/>
      <c r="F180" s="402"/>
      <c r="G180" s="1532" t="str">
        <f>IF(OR(ISBLANK(F180),F180=EUconst_NoTier),"",IF(Z180=0,EUconst_NA,IF(ISERROR(Z180),"",Z180)))</f>
        <v/>
      </c>
      <c r="H180" s="1533"/>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0"/>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0"/>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0"/>
      <c r="AV180" s="492" t="s">
        <v>314</v>
      </c>
      <c r="AW180" s="492" t="s">
        <v>319</v>
      </c>
      <c r="AX180" s="524"/>
      <c r="AY180" s="30" t="s">
        <v>542</v>
      </c>
      <c r="AZ180" s="30"/>
      <c r="BA180" s="30"/>
      <c r="BB180" s="504"/>
      <c r="BC180" s="493" t="str">
        <f>EUconst_Fuel</f>
        <v>Degimas</v>
      </c>
      <c r="BD180" s="493" t="str">
        <f>EUconst_ProcessCarbonate</f>
        <v>Proceso metu išsiskiriančios ŠESD</v>
      </c>
      <c r="BE180" s="493"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4" t="b">
        <f>BZ175</f>
        <v>1</v>
      </c>
    </row>
    <row r="181" spans="1:78" s="142" customFormat="1" ht="5.0999999999999996" hidden="1" customHeight="1">
      <c r="A181" s="808"/>
      <c r="B181" s="166"/>
      <c r="C181" s="814"/>
      <c r="D181" s="306"/>
      <c r="F181" s="143"/>
      <c r="G181" s="143"/>
      <c r="H181" s="143" t="s">
        <v>236</v>
      </c>
      <c r="I181" s="525"/>
      <c r="J181" s="525"/>
      <c r="K181" s="143"/>
      <c r="L181" s="143"/>
      <c r="M181" s="710"/>
      <c r="O181" s="733"/>
      <c r="P181" s="33"/>
      <c r="Q181" s="33"/>
      <c r="R181" s="33"/>
      <c r="S181" s="30"/>
      <c r="T181" s="155"/>
      <c r="U181" s="497"/>
      <c r="V181" s="30"/>
      <c r="W181" s="30"/>
      <c r="X181" s="497"/>
      <c r="Y181" s="526"/>
      <c r="Z181" s="30"/>
      <c r="AA181" s="30"/>
      <c r="AB181" s="30"/>
      <c r="AC181" s="30"/>
      <c r="AD181" s="30"/>
      <c r="AE181" s="30"/>
      <c r="AF181" s="30"/>
      <c r="AG181" s="30"/>
      <c r="AH181" s="30"/>
      <c r="AI181" s="30"/>
      <c r="AJ181" s="30"/>
      <c r="AK181" s="30"/>
      <c r="AL181" s="342"/>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3"/>
    </row>
    <row r="182" spans="1:78" s="142" customFormat="1" ht="12.75" hidden="1" customHeight="1" thickBot="1">
      <c r="A182" s="808"/>
      <c r="B182" s="166"/>
      <c r="C182" s="814" t="s">
        <v>197</v>
      </c>
      <c r="D182" s="512" t="str">
        <f>Translations!$B$634</f>
        <v>(prelim.) ITF:</v>
      </c>
      <c r="E182" s="513"/>
      <c r="F182" s="527"/>
      <c r="G182" s="1532" t="str">
        <f t="shared" ref="G182:G188" si="28">IF(OR(ISBLANK(F182),F182=EUconst_NoTier),"",IF(Z182=0,EUconst_NotApplicable,IF(ISERROR(Z182),"",Z182)))</f>
        <v/>
      </c>
      <c r="H182" s="1556"/>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3"/>
      <c r="Q182" s="33"/>
      <c r="R182" s="33"/>
      <c r="S182" s="30"/>
      <c r="T182" s="530" t="str">
        <f>EUconst_CNTR_EF&amp;E171</f>
        <v>EF_</v>
      </c>
      <c r="U182" s="497"/>
      <c r="V182" s="531" t="str">
        <f>V180</f>
        <v/>
      </c>
      <c r="W182" s="30"/>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0"/>
      <c r="AC182" s="535" t="b">
        <f>AND(AC180,Y182&lt;&gt;EUconst_NA)</f>
        <v>0</v>
      </c>
      <c r="AD182" s="30"/>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0"/>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0"/>
      <c r="BA182" s="30"/>
      <c r="BB182" s="547" t="s">
        <v>594</v>
      </c>
      <c r="BC182" s="546" t="str">
        <f>IF(K170=BC180,AR180*IF(AJ182=EUconst_tCO2pTJ,(AR183/1000),1)*AR182*AR184*AR188,"")</f>
        <v/>
      </c>
      <c r="BD182" s="524" t="str">
        <f>IF(K170=BD180,AR180*AR182*AR185*AR188,"")</f>
        <v/>
      </c>
      <c r="BE182" s="523"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1" t="b">
        <f>OR(BZ180,Y182=EUconst_NA)</f>
        <v>1</v>
      </c>
    </row>
    <row r="183" spans="1:78" s="142" customFormat="1" ht="12.75" hidden="1" customHeight="1" thickBot="1">
      <c r="A183" s="808"/>
      <c r="B183" s="166"/>
      <c r="C183" s="814" t="s">
        <v>198</v>
      </c>
      <c r="D183" s="512" t="str">
        <f>Translations!$B$636</f>
        <v>GŠV:</v>
      </c>
      <c r="E183" s="513"/>
      <c r="F183" s="548"/>
      <c r="G183" s="1532" t="str">
        <f t="shared" si="28"/>
        <v/>
      </c>
      <c r="H183" s="1533"/>
      <c r="I183" s="1169" t="str">
        <f>AJ183</f>
        <v/>
      </c>
      <c r="J183" s="549"/>
      <c r="K183" s="550" t="str">
        <f t="shared" si="29"/>
        <v/>
      </c>
      <c r="L183" s="551"/>
      <c r="M183" s="709" t="str">
        <f>IF(AND(E171&lt;&gt;"",OR(F183="",COUNT(K183:L183)=0),Y183&lt;&gt;EUconst_NA,T171&lt;&gt;TRUE),EUconst_ERR_Incomplete,IF(COUNTIF(AX183:AZ183,TRUE)&gt;0,EUconst_ERR_Inconsistent,""))</f>
        <v/>
      </c>
      <c r="O183" s="733"/>
      <c r="P183" s="33"/>
      <c r="Q183" s="33"/>
      <c r="R183" s="33"/>
      <c r="S183" s="30"/>
      <c r="T183" s="552" t="str">
        <f>EUconst_CNTR_NCV&amp;E171</f>
        <v>NCV_</v>
      </c>
      <c r="U183" s="497"/>
      <c r="V183" s="553" t="str">
        <f t="shared" ref="V183:V188" si="34">V182</f>
        <v/>
      </c>
      <c r="W183" s="30"/>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0"/>
      <c r="AC183" s="557" t="b">
        <f>AND(AC180,Y183&lt;&gt;EUconst_NA)</f>
        <v>0</v>
      </c>
      <c r="AD183" s="30"/>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0"/>
      <c r="AV183" s="567" t="b">
        <f t="shared" si="31"/>
        <v>0</v>
      </c>
      <c r="AW183" s="568" t="b">
        <f t="shared" si="32"/>
        <v>0</v>
      </c>
      <c r="AX183" s="30"/>
      <c r="AY183" s="553" t="b">
        <f t="shared" si="33"/>
        <v>0</v>
      </c>
      <c r="AZ183" s="30"/>
      <c r="BA183" s="30"/>
      <c r="BB183" s="547" t="s">
        <v>595</v>
      </c>
      <c r="BC183" s="546" t="str">
        <f>IF(K170=BC180,AR180*IF(AJ182=EUconst_tCO2pTJ,(AR183/1000),1)*AR182*AR184*AR187,"")</f>
        <v/>
      </c>
      <c r="BD183" s="524" t="str">
        <f>IF(K170=BD180,AR180*AR182*AR185*AR187,"")</f>
        <v/>
      </c>
      <c r="BE183" s="523"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3" t="b">
        <f>OR(BZ180,Y183=EUconst_NA)</f>
        <v>1</v>
      </c>
    </row>
    <row r="184" spans="1:78" s="142" customFormat="1" ht="12.75" hidden="1" customHeight="1" thickBot="1">
      <c r="A184" s="808"/>
      <c r="B184" s="166"/>
      <c r="C184" s="814" t="s">
        <v>199</v>
      </c>
      <c r="D184" s="512" t="str">
        <f>Translations!$B$638</f>
        <v>OksK:</v>
      </c>
      <c r="E184" s="513"/>
      <c r="F184" s="548"/>
      <c r="G184" s="1532" t="str">
        <f t="shared" si="28"/>
        <v/>
      </c>
      <c r="H184" s="1533"/>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3"/>
      <c r="Q184" s="33"/>
      <c r="R184" s="33"/>
      <c r="S184" s="30"/>
      <c r="T184" s="552" t="str">
        <f>EUconst_CNTR_OxidationFactor&amp;E171</f>
        <v>OxF_</v>
      </c>
      <c r="U184" s="497"/>
      <c r="V184" s="553" t="str">
        <f t="shared" si="34"/>
        <v/>
      </c>
      <c r="W184" s="30"/>
      <c r="X184" s="497"/>
      <c r="Y184" s="554" t="str">
        <f>IF(OR(T171=TRUE,E171=""),"",INDEX(EUwideConstants!$N:$N,MATCH(T184,EUwideConstants!$Q:$Q,0)))</f>
        <v/>
      </c>
      <c r="Z184" s="555" t="str">
        <f>IF(ISBLANK(F184),"",IF(F184=EUconst_NA,"",INDEX(EUwideConstants!$H:$M,MATCH(T184,EUwideConstants!$Q:$Q,0),MATCH(F184,CNTR_TierList,0))))</f>
        <v/>
      </c>
      <c r="AA184" s="534" t="str">
        <f>IF(F184=1,1,"")</f>
        <v/>
      </c>
      <c r="AB184" s="30"/>
      <c r="AC184" s="557" t="b">
        <f>AND(AC180,Y184&lt;&gt;EUconst_NA)</f>
        <v>0</v>
      </c>
      <c r="AD184" s="30"/>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0"/>
      <c r="AV184" s="567" t="b">
        <f t="shared" si="31"/>
        <v>0</v>
      </c>
      <c r="AW184" s="568" t="b">
        <f t="shared" si="32"/>
        <v>0</v>
      </c>
      <c r="AX184" s="30"/>
      <c r="AY184" s="594" t="b">
        <f t="shared" si="33"/>
        <v>0</v>
      </c>
      <c r="AZ184" s="531" t="b">
        <f>AR184&gt;100%</f>
        <v>0</v>
      </c>
      <c r="BA184" s="30"/>
      <c r="BB184" s="547" t="s">
        <v>290</v>
      </c>
      <c r="BC184" s="546" t="str">
        <f>IF(K170=BC180,AR180*IF(AJ182=EUconst_tCO2pTJ,(AR183/1000),1)*AR182*AR184*(1-AR187),"")</f>
        <v/>
      </c>
      <c r="BD184" s="524" t="str">
        <f>IF(K170=BD180,AR180*AR182*AR185*(1-AR187),"")</f>
        <v/>
      </c>
      <c r="BE184" s="523"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3" t="b">
        <f>OR(BZ180,Y184=EUconst_NA)</f>
        <v>1</v>
      </c>
    </row>
    <row r="185" spans="1:78" s="142" customFormat="1" ht="12.75" hidden="1" customHeight="1" thickBot="1">
      <c r="A185" s="808"/>
      <c r="B185" s="166"/>
      <c r="C185" s="814" t="s">
        <v>200</v>
      </c>
      <c r="D185" s="512" t="str">
        <f>Translations!$B$639</f>
        <v>KonvK:</v>
      </c>
      <c r="E185" s="513"/>
      <c r="F185" s="548"/>
      <c r="G185" s="1532" t="str">
        <f t="shared" si="28"/>
        <v/>
      </c>
      <c r="H185" s="1533"/>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3"/>
      <c r="Q185" s="33"/>
      <c r="R185" s="33"/>
      <c r="S185" s="30"/>
      <c r="T185" s="552" t="str">
        <f>EUconst_CNTR_ConversionFactor&amp;E171</f>
        <v>ConvF_</v>
      </c>
      <c r="U185" s="497"/>
      <c r="V185" s="553" t="str">
        <f t="shared" si="34"/>
        <v/>
      </c>
      <c r="W185" s="30"/>
      <c r="X185" s="497"/>
      <c r="Y185" s="554" t="str">
        <f>IF(OR(T171=TRUE,E171=""),"",INDEX(EUwideConstants!$N:$N,MATCH(T185,EUwideConstants!$Q:$Q,0)))</f>
        <v/>
      </c>
      <c r="Z185" s="555" t="str">
        <f>IF(ISBLANK(F185),"",IF(F185=EUconst_NA,"",INDEX(EUwideConstants!$H:$M,MATCH(T185,EUwideConstants!$Q:$Q,0),MATCH(F185,CNTR_TierList,0))))</f>
        <v/>
      </c>
      <c r="AA185" s="582" t="str">
        <f>IF(F185=1,1,"")</f>
        <v/>
      </c>
      <c r="AB185" s="30"/>
      <c r="AC185" s="557" t="b">
        <f>AND(AC180,Y185&lt;&gt;EUconst_NA)</f>
        <v>0</v>
      </c>
      <c r="AD185" s="30"/>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0"/>
      <c r="AV185" s="567" t="b">
        <f t="shared" si="31"/>
        <v>0</v>
      </c>
      <c r="AW185" s="568" t="b">
        <f t="shared" si="32"/>
        <v>0</v>
      </c>
      <c r="AX185" s="30"/>
      <c r="AY185" s="594" t="b">
        <f t="shared" si="33"/>
        <v>0</v>
      </c>
      <c r="AZ185" s="580" t="b">
        <f>AR185&gt;100%</f>
        <v>0</v>
      </c>
      <c r="BA185" s="30"/>
      <c r="BB185" s="578" t="s">
        <v>487</v>
      </c>
      <c r="BC185" s="579">
        <f>AR180*AR183/1000*(1-AR187)</f>
        <v>0</v>
      </c>
      <c r="BD185" s="580">
        <f>BC185</f>
        <v>0</v>
      </c>
      <c r="BE185" s="581">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3" t="b">
        <f>OR(BZ180,Y185=EUconst_NA)</f>
        <v>1</v>
      </c>
    </row>
    <row r="186" spans="1:78" s="142" customFormat="1" ht="12.75" hidden="1" customHeight="1" thickBot="1">
      <c r="A186" s="808"/>
      <c r="B186" s="166"/>
      <c r="C186" s="814" t="s">
        <v>329</v>
      </c>
      <c r="D186" s="512" t="str">
        <f>Translations!$B$640</f>
        <v>AnglK:</v>
      </c>
      <c r="E186" s="513"/>
      <c r="F186" s="548"/>
      <c r="G186" s="1532" t="str">
        <f t="shared" si="28"/>
        <v/>
      </c>
      <c r="H186" s="1533"/>
      <c r="I186" s="1170" t="str">
        <f>AJ186</f>
        <v/>
      </c>
      <c r="J186" s="586"/>
      <c r="K186" s="587" t="str">
        <f t="shared" si="29"/>
        <v/>
      </c>
      <c r="L186" s="588"/>
      <c r="M186" s="709" t="str">
        <f>IF(AND(E171&lt;&gt;"",OR(F186="",COUNT(K186:L186)=0),Y186&lt;&gt;EUconst_NA,T171&lt;&gt;TRUE),EUconst_ERR_Incomplete,IF(COUNTIF(AX186:AZ186,TRUE)&gt;0,EUconst_ERR_Inconsistent,""))</f>
        <v/>
      </c>
      <c r="O186" s="733"/>
      <c r="P186" s="33"/>
      <c r="Q186" s="33"/>
      <c r="R186" s="33"/>
      <c r="S186" s="30"/>
      <c r="T186" s="552" t="str">
        <f>EUconst_CNTR_CarbonContent&amp;E171</f>
        <v>CarbC_</v>
      </c>
      <c r="U186" s="497"/>
      <c r="V186" s="553" t="str">
        <f t="shared" si="34"/>
        <v/>
      </c>
      <c r="W186" s="30"/>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0"/>
      <c r="AC186" s="557" t="b">
        <f>AND(AC180,Y186&lt;&gt;EUconst_NA)</f>
        <v>0</v>
      </c>
      <c r="AD186" s="30"/>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0"/>
      <c r="AV186" s="567" t="b">
        <f t="shared" si="31"/>
        <v>0</v>
      </c>
      <c r="AW186" s="568" t="b">
        <f t="shared" si="32"/>
        <v>0</v>
      </c>
      <c r="AX186" s="546" t="b">
        <f>OR(AND(AJ180=EUconst_kNm3,AJ186=EUconst_tCpt),AND(AJ180=EUconst_t,AJ186=EUconst_tCpkNm3))</f>
        <v>0</v>
      </c>
      <c r="AY186" s="553" t="b">
        <f t="shared" si="33"/>
        <v>0</v>
      </c>
      <c r="AZ186" s="30"/>
      <c r="BA186" s="30"/>
      <c r="BB186" s="578" t="s">
        <v>488</v>
      </c>
      <c r="BC186" s="579">
        <f>AR180*AR183/1000*AR187</f>
        <v>0</v>
      </c>
      <c r="BD186" s="580">
        <f>BC186</f>
        <v>0</v>
      </c>
      <c r="BE186" s="581">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3" t="b">
        <f>OR(BZ180,Y186=EUconst_NA)</f>
        <v>1</v>
      </c>
    </row>
    <row r="187" spans="1:78" s="142" customFormat="1" ht="12.75" hidden="1" customHeight="1">
      <c r="A187" s="808"/>
      <c r="B187" s="166"/>
      <c r="C187" s="777" t="s">
        <v>330</v>
      </c>
      <c r="D187" s="512" t="str">
        <f>Translations!$B$641</f>
        <v>BioC:</v>
      </c>
      <c r="E187" s="513"/>
      <c r="F187" s="548"/>
      <c r="G187" s="1532" t="str">
        <f t="shared" si="28"/>
        <v/>
      </c>
      <c r="H187" s="1533"/>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0"/>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0"/>
      <c r="AC187" s="557" t="b">
        <f>AND(AC180,Y187&lt;&gt;EUconst_NA)</f>
        <v>0</v>
      </c>
      <c r="AD187" s="30"/>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0"/>
      <c r="AV187" s="567" t="b">
        <f t="shared" si="31"/>
        <v>0</v>
      </c>
      <c r="AW187" s="568" t="b">
        <f t="shared" si="32"/>
        <v>0</v>
      </c>
      <c r="AX187" s="30"/>
      <c r="AY187" s="594" t="b">
        <f t="shared" si="33"/>
        <v>0</v>
      </c>
      <c r="AZ187" s="531"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3" t="b">
        <f>OR(BZ180,Y187=EUconst_NA)</f>
        <v>1</v>
      </c>
    </row>
    <row r="188" spans="1:78" s="142" customFormat="1" ht="12.75" hidden="1" customHeight="1" thickBot="1">
      <c r="A188" s="808"/>
      <c r="B188" s="166"/>
      <c r="C188" s="777" t="s">
        <v>454</v>
      </c>
      <c r="D188" s="512" t="str">
        <f>Translations!$B$647</f>
        <v>Netvar. BioC:</v>
      </c>
      <c r="E188" s="513"/>
      <c r="F188" s="597"/>
      <c r="G188" s="1532" t="str">
        <f t="shared" si="28"/>
        <v/>
      </c>
      <c r="H188" s="1533"/>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0"/>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0"/>
      <c r="AC188" s="603" t="b">
        <f>AND(AC180,Y188&lt;&gt;EUconst_NA)</f>
        <v>0</v>
      </c>
      <c r="AD188" s="30"/>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0"/>
      <c r="AV188" s="613" t="b">
        <f t="shared" si="31"/>
        <v>0</v>
      </c>
      <c r="AW188" s="614" t="b">
        <f t="shared" si="32"/>
        <v>0</v>
      </c>
      <c r="AX188" s="30"/>
      <c r="AY188" s="579" t="b">
        <f t="shared" si="33"/>
        <v>0</v>
      </c>
      <c r="AZ188" s="580"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80" t="b">
        <f>OR(BZ180,Y188=EUconst_NA)</f>
        <v>1</v>
      </c>
    </row>
    <row r="189" spans="1:78" s="142" customFormat="1" ht="5.0999999999999996" hidden="1" customHeight="1">
      <c r="A189" s="808"/>
      <c r="B189" s="166"/>
      <c r="C189" s="166"/>
      <c r="D189" s="180"/>
      <c r="O189" s="733"/>
      <c r="P189" s="33"/>
      <c r="Q189" s="33"/>
      <c r="R189" s="33"/>
      <c r="S189" s="174"/>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hidden="1" customHeight="1">
      <c r="A190" s="808"/>
      <c r="B190" s="166"/>
      <c r="C190" s="166"/>
      <c r="D190" s="1558" t="str">
        <f>Translations!$B$674</f>
        <v>Pakopos galioja nuo:</v>
      </c>
      <c r="E190" s="1558"/>
      <c r="F190" s="1559"/>
      <c r="G190" s="1052"/>
      <c r="H190" s="615" t="str">
        <f>Translations!$B$675</f>
        <v>iki:</v>
      </c>
      <c r="I190" s="1052"/>
      <c r="J190" s="1536" t="str">
        <f>Translations!$B$676</f>
        <v>Atliekų katalogo numeris (jeigu taikytina):</v>
      </c>
      <c r="K190" s="1537"/>
      <c r="L190" s="1537"/>
      <c r="M190" s="1538"/>
      <c r="N190" s="1289"/>
      <c r="O190" s="733"/>
      <c r="P190" s="33"/>
      <c r="Q190" s="33"/>
      <c r="R190" s="33"/>
      <c r="S190" s="1290"/>
      <c r="T190" s="492"/>
      <c r="U190" s="492"/>
      <c r="V190" s="48" t="b">
        <f>IF(V180="",FALSE,INDEX(CNTR_IsWaste,MATCH(V180,MSParameters!$A$218:$A$376,0)))</f>
        <v>0</v>
      </c>
      <c r="W190" s="1290"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hidden="1" customHeight="1">
      <c r="A191" s="808"/>
      <c r="B191" s="166"/>
      <c r="C191" s="166"/>
      <c r="D191" s="615"/>
      <c r="E191" s="495"/>
      <c r="F191" s="495"/>
      <c r="G191" s="495"/>
      <c r="H191" s="495"/>
      <c r="I191" s="495"/>
      <c r="J191" s="495"/>
      <c r="K191" s="495"/>
      <c r="L191" s="495"/>
      <c r="M191" s="495"/>
      <c r="N191" s="495"/>
      <c r="O191" s="733"/>
      <c r="P191" s="33"/>
      <c r="Q191" s="33"/>
      <c r="R191" s="33"/>
      <c r="S191" s="174"/>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hidden="1" customHeight="1">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3"/>
      <c r="Q192" s="33"/>
      <c r="R192" s="33"/>
      <c r="S192" s="174"/>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4.5" hidden="1" customHeight="1">
      <c r="A193" s="815"/>
      <c r="D193" s="180"/>
      <c r="O193" s="573"/>
      <c r="P193" s="497"/>
      <c r="Q193" s="497"/>
      <c r="R193" s="497"/>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hidden="1">
      <c r="A194" s="815"/>
      <c r="D194" s="1534" t="str">
        <f>Translations!$B$160</f>
        <v>Pastabos:</v>
      </c>
      <c r="E194" s="1535"/>
      <c r="F194" s="1539"/>
      <c r="G194" s="1540"/>
      <c r="H194" s="1540"/>
      <c r="I194" s="1540"/>
      <c r="J194" s="1540"/>
      <c r="K194" s="1540"/>
      <c r="L194" s="1540"/>
      <c r="M194" s="1540"/>
      <c r="N194" s="1541"/>
      <c r="O194" s="573"/>
      <c r="P194" s="497"/>
      <c r="Q194" s="497"/>
      <c r="R194" s="497"/>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hidden="1" customHeight="1" thickBot="1">
      <c r="A195" s="808"/>
      <c r="B195" s="495"/>
      <c r="C195" s="499"/>
      <c r="D195" s="500"/>
      <c r="E195" s="501"/>
      <c r="F195" s="499"/>
      <c r="G195" s="502"/>
      <c r="H195" s="502"/>
      <c r="I195" s="502"/>
      <c r="J195" s="502"/>
      <c r="K195" s="502"/>
      <c r="L195" s="502"/>
      <c r="M195" s="502"/>
      <c r="N195" s="502"/>
      <c r="O195" s="740"/>
      <c r="P195" s="494"/>
      <c r="Q195" s="494"/>
      <c r="R195" s="494"/>
      <c r="S195" s="58"/>
      <c r="T195" s="58"/>
      <c r="U195" s="498"/>
      <c r="V195" s="58"/>
      <c r="W195" s="58"/>
      <c r="X195" s="49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hidden="1" customHeight="1" thickBot="1">
      <c r="A196" s="813"/>
      <c r="B196" s="495"/>
      <c r="C196" s="495"/>
      <c r="D196" s="180"/>
      <c r="E196" s="496"/>
      <c r="F196" s="495"/>
      <c r="G196" s="487"/>
      <c r="H196" s="487"/>
      <c r="I196" s="487"/>
      <c r="J196" s="487"/>
      <c r="K196" s="495"/>
      <c r="L196" s="487"/>
      <c r="M196" s="487"/>
      <c r="N196" s="487"/>
      <c r="O196" s="740"/>
      <c r="P196" s="494"/>
      <c r="Q196" s="494"/>
      <c r="R196" s="494"/>
      <c r="S196" s="23"/>
      <c r="T196" s="27" t="str">
        <f>IF(ISBLANK(E197),"",MATCH(E197,CNTR_SourceStreamNames,0))</f>
        <v/>
      </c>
      <c r="U196" s="618"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1"/>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3" t="s">
        <v>262</v>
      </c>
    </row>
    <row r="197" spans="1:78" s="142" customFormat="1" ht="15" hidden="1" customHeight="1" thickBot="1">
      <c r="A197" s="869" t="str">
        <f>IF(E197="","","PRINT")</f>
        <v/>
      </c>
      <c r="B197" s="166"/>
      <c r="C197" s="617">
        <f>C170+1</f>
        <v>6</v>
      </c>
      <c r="D197" s="166"/>
      <c r="E197" s="1542"/>
      <c r="F197" s="1543"/>
      <c r="G197" s="1543"/>
      <c r="H197" s="1543"/>
      <c r="I197" s="1543"/>
      <c r="J197" s="1544"/>
      <c r="K197" s="1545" t="str">
        <f>IF(E198="","",INDEX(EUwideConstants!$F$353:$F$394,MATCH(E198,EUConst_TierActivityListNames,0)))</f>
        <v/>
      </c>
      <c r="L197" s="1546"/>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3"/>
      <c r="T197" s="509" t="s">
        <v>393</v>
      </c>
      <c r="U197" s="23"/>
      <c r="V197" s="78"/>
      <c r="W197" s="56"/>
      <c r="X197" s="58"/>
      <c r="Y197" s="58"/>
      <c r="Z197" s="58"/>
      <c r="AA197" s="58"/>
      <c r="AB197" s="58"/>
      <c r="AC197" s="58"/>
      <c r="AD197" s="58"/>
      <c r="AE197" s="58"/>
      <c r="AF197" s="58"/>
      <c r="AG197" s="58"/>
      <c r="AH197" s="58"/>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6"/>
      <c r="BZ197" s="619" t="b">
        <f>CNTR_CalcRelevant=EUconst_NotRelevant</f>
        <v>0</v>
      </c>
    </row>
    <row r="198" spans="1:78" s="142" customFormat="1" ht="15" hidden="1" customHeight="1" thickBot="1">
      <c r="A198" s="808"/>
      <c r="B198" s="166"/>
      <c r="C198" s="166"/>
      <c r="D198" s="166"/>
      <c r="E198" s="1547" t="str">
        <f>IF(ISBLANK(E197),"",IF(INDEX(B_InstallationDescription!$E$71:$E$145,MATCH(U196,B_InstallationDescription!$D$71:$D$145,0))&gt;0,INDEX(B_InstallationDescription!$E$71:$E$145,MATCH(U196,B_InstallationDescription!$D$71:$D$145,0)),""))</f>
        <v/>
      </c>
      <c r="F198" s="1548"/>
      <c r="G198" s="1548"/>
      <c r="H198" s="1548"/>
      <c r="I198" s="1548"/>
      <c r="J198" s="1549"/>
      <c r="M198" s="346" t="str">
        <f>Translations!$B$666</f>
        <v>CO2, biomasės kilmės.:</v>
      </c>
      <c r="N198" s="1051" t="str">
        <f>IF(OR(K197="",T198=TRUE),"",INDEX(BC210:BE210,MATCH(K197,BC207:BE207,0)))</f>
        <v/>
      </c>
      <c r="O198" s="742" t="s">
        <v>260</v>
      </c>
      <c r="P198" s="494"/>
      <c r="Q198" s="352" t="str">
        <f>EUconst_SumBioCO2 &amp; "_" &amp; K197</f>
        <v>SUM_bioCO2_</v>
      </c>
      <c r="R198" s="494"/>
      <c r="S198" s="23"/>
      <c r="T198" s="48" t="str">
        <f>IF(E198="","",MATCH(E198,EUConst_TierActivityListNames,0)&gt;40)</f>
        <v/>
      </c>
      <c r="U198" s="23"/>
      <c r="V198" s="78"/>
      <c r="W198" s="56"/>
      <c r="X198" s="58"/>
      <c r="Y198" s="27" t="s">
        <v>93</v>
      </c>
      <c r="Z198" s="30"/>
      <c r="AA198" s="30"/>
      <c r="AB198" s="30"/>
      <c r="AC198" s="30"/>
      <c r="AD198" s="30"/>
      <c r="AE198" s="27" t="s">
        <v>302</v>
      </c>
      <c r="AF198" s="58"/>
      <c r="AG198" s="504"/>
      <c r="AH198" s="30"/>
      <c r="AI198" s="30"/>
      <c r="AJ198" s="504"/>
      <c r="AK198" s="504"/>
      <c r="AL198" s="342"/>
      <c r="AM198" s="27" t="s">
        <v>308</v>
      </c>
      <c r="AN198" s="505"/>
      <c r="AO198" s="505"/>
      <c r="AP198" s="30"/>
      <c r="AQ198" s="30"/>
      <c r="AR198" s="30"/>
      <c r="AS198" s="30"/>
      <c r="AT198" s="30"/>
      <c r="AU198" s="30"/>
      <c r="AV198" s="27" t="s">
        <v>315</v>
      </c>
      <c r="AW198" s="30"/>
      <c r="AX198" s="492"/>
      <c r="AY198" s="30"/>
      <c r="AZ198" s="30"/>
      <c r="BA198" s="30"/>
      <c r="BB198" s="27" t="s">
        <v>219</v>
      </c>
      <c r="BC198" s="30"/>
      <c r="BD198" s="30"/>
      <c r="BE198" s="30"/>
      <c r="BF198" s="30"/>
      <c r="BG198" s="27"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0"/>
      <c r="BZ198" s="30"/>
    </row>
    <row r="199" spans="1:78" s="142" customFormat="1" ht="4.5" hidden="1" customHeight="1">
      <c r="A199" s="808"/>
      <c r="B199" s="166"/>
      <c r="C199" s="166"/>
      <c r="D199" s="166"/>
      <c r="E199" s="166"/>
      <c r="F199" s="166"/>
      <c r="G199" s="166"/>
      <c r="M199" s="143"/>
      <c r="N199" s="143"/>
      <c r="O199" s="733"/>
      <c r="P199" s="33"/>
      <c r="Q199" s="33"/>
      <c r="R199" s="33"/>
      <c r="S199" s="23"/>
      <c r="T199" s="23"/>
      <c r="U199" s="23"/>
      <c r="V199" s="78"/>
      <c r="W199" s="30"/>
      <c r="X199" s="30"/>
      <c r="Y199" s="494"/>
      <c r="Z199" s="30"/>
      <c r="AA199" s="30"/>
      <c r="AB199" s="30"/>
      <c r="AC199" s="30"/>
      <c r="AD199" s="30"/>
      <c r="AE199" s="30"/>
      <c r="AF199" s="58"/>
      <c r="AG199" s="30"/>
      <c r="AH199" s="30"/>
      <c r="AI199" s="30"/>
      <c r="AJ199" s="504"/>
      <c r="AK199" s="504"/>
      <c r="AL199" s="342"/>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hidden="1" customHeight="1" thickBot="1">
      <c r="A200" s="808"/>
      <c r="B200" s="166"/>
      <c r="C200" s="166"/>
      <c r="D200" s="166"/>
      <c r="E200" s="1550" t="str">
        <f>IF(E197="","",IF(T198=TRUE,HYPERLINK("#JUMP_14",EUconst_MsgGoOnPFC),HYPERLINK("#JUMP_E_8",EUconst_FurtherGuidancePoint1)))</f>
        <v/>
      </c>
      <c r="F200" s="1550"/>
      <c r="G200" s="1550"/>
      <c r="H200" s="1550"/>
      <c r="I200" s="1550"/>
      <c r="J200" s="1550"/>
      <c r="K200" s="1550"/>
      <c r="L200" s="1550"/>
      <c r="M200" s="1550"/>
      <c r="N200" s="143"/>
      <c r="O200" s="733"/>
      <c r="P200" s="33"/>
      <c r="Q200" s="352" t="str">
        <f>EUconst_SumNonSustBioCO2 &amp; "_" &amp; K197</f>
        <v>SUM_bioNonSustCO2_</v>
      </c>
      <c r="R200" s="707"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4"/>
      <c r="AK200" s="504"/>
      <c r="AL200" s="342"/>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4.5" hidden="1" customHeight="1">
      <c r="A201" s="808"/>
      <c r="B201" s="166"/>
      <c r="C201" s="166"/>
      <c r="D201" s="166"/>
      <c r="E201" s="166"/>
      <c r="F201" s="166"/>
      <c r="G201" s="166"/>
      <c r="M201" s="143"/>
      <c r="N201" s="143"/>
      <c r="O201" s="733"/>
      <c r="P201" s="23"/>
      <c r="Q201" s="23"/>
      <c r="R201" s="23"/>
      <c r="S201" s="23"/>
      <c r="T201" s="23"/>
      <c r="U201" s="23"/>
      <c r="V201" s="30"/>
      <c r="W201" s="30"/>
      <c r="X201" s="30"/>
      <c r="Y201" s="494"/>
      <c r="Z201" s="30"/>
      <c r="AA201" s="30"/>
      <c r="AB201" s="30"/>
      <c r="AC201" s="30"/>
      <c r="AD201" s="30"/>
      <c r="AE201" s="30"/>
      <c r="AF201" s="58"/>
      <c r="AG201" s="30"/>
      <c r="AH201" s="30"/>
      <c r="AI201" s="30"/>
      <c r="AJ201" s="504"/>
      <c r="AK201" s="504"/>
      <c r="AL201" s="342"/>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 hidden="1" customHeight="1" thickBot="1">
      <c r="A202" s="808"/>
      <c r="B202" s="166"/>
      <c r="C202" s="814" t="s">
        <v>4</v>
      </c>
      <c r="D202" s="512" t="str">
        <f>Translations!$B$622</f>
        <v>VD:</v>
      </c>
      <c r="E202" s="1560" t="str">
        <f>Translations!$B$667</f>
        <v>Ar veiklos duomenys gaunami sudedant išmatuotus kiekius (t. y. ne atliekant nuolatinius matavimus)?</v>
      </c>
      <c r="F202" s="1560"/>
      <c r="G202" s="1560"/>
      <c r="H202" s="1560"/>
      <c r="I202" s="1560"/>
      <c r="J202" s="1560"/>
      <c r="K202" s="1560"/>
      <c r="L202" s="1179"/>
      <c r="M202" s="507"/>
      <c r="O202" s="733"/>
      <c r="P202" s="23"/>
      <c r="Q202" s="23"/>
      <c r="R202" s="23"/>
      <c r="S202" s="23"/>
      <c r="T202" s="23"/>
      <c r="U202" s="23"/>
      <c r="V202" s="30"/>
      <c r="W202" s="30"/>
      <c r="X202" s="30"/>
      <c r="Y202" s="494"/>
      <c r="Z202" s="30"/>
      <c r="AA202" s="30"/>
      <c r="AB202" s="30"/>
      <c r="AC202" s="1172" t="b">
        <f>AND(E197&lt;&gt;"",T198&lt;&gt;TRUE)</f>
        <v>0</v>
      </c>
      <c r="AD202" s="30"/>
      <c r="AE202" s="30"/>
      <c r="AF202" s="58"/>
      <c r="AG202" s="30"/>
      <c r="AH202" s="30"/>
      <c r="AI202" s="30"/>
      <c r="AJ202" s="504"/>
      <c r="AK202" s="504"/>
      <c r="AL202" s="342"/>
      <c r="AM202" s="30"/>
      <c r="AN202" s="30"/>
      <c r="AO202" s="30"/>
      <c r="AP202" s="30"/>
      <c r="AQ202" s="30"/>
      <c r="AR202" s="30"/>
      <c r="AS202" s="30"/>
      <c r="AT202" s="1172"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2" t="b">
        <f>OR(CNTR_CalcRelevant=EUconst_NotRelevant,AND(COUNTA(CNTR_ListRelevantSections)&gt;0,OR(T198=TRUE,E197="")))</f>
        <v>1</v>
      </c>
    </row>
    <row r="203" spans="1:78" s="142" customFormat="1" ht="4.5" hidden="1" customHeight="1">
      <c r="A203" s="808"/>
      <c r="B203" s="166"/>
      <c r="C203" s="166"/>
      <c r="D203" s="166"/>
      <c r="E203" s="166"/>
      <c r="F203" s="166"/>
      <c r="G203" s="166"/>
      <c r="H203" s="495"/>
      <c r="I203" s="495"/>
      <c r="J203" s="495"/>
      <c r="K203" s="495"/>
      <c r="L203" s="495"/>
      <c r="M203" s="507"/>
      <c r="O203" s="733"/>
      <c r="P203" s="23"/>
      <c r="Q203" s="23"/>
      <c r="R203" s="23"/>
      <c r="S203" s="23"/>
      <c r="T203" s="23"/>
      <c r="U203" s="23"/>
      <c r="V203" s="30"/>
      <c r="W203" s="30"/>
      <c r="X203" s="30"/>
      <c r="Y203" s="494"/>
      <c r="Z203" s="30"/>
      <c r="AA203" s="30"/>
      <c r="AB203" s="30"/>
      <c r="AC203" s="492"/>
      <c r="AD203" s="30"/>
      <c r="AE203" s="30"/>
      <c r="AF203" s="58"/>
      <c r="AG203" s="30"/>
      <c r="AH203" s="30"/>
      <c r="AI203" s="30"/>
      <c r="AJ203" s="504"/>
      <c r="AK203" s="504"/>
      <c r="AL203" s="342"/>
      <c r="AM203" s="30"/>
      <c r="AN203" s="30"/>
      <c r="AO203" s="30"/>
      <c r="AP203" s="30"/>
      <c r="AQ203" s="30"/>
      <c r="AR203" s="30"/>
      <c r="AS203" s="30"/>
      <c r="AT203" s="492"/>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2"/>
    </row>
    <row r="204" spans="1:78" s="142" customFormat="1" ht="12.75" hidden="1" customHeight="1" thickBot="1">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3"/>
      <c r="Q204" s="23"/>
      <c r="R204" s="23"/>
      <c r="S204" s="23"/>
      <c r="T204" s="23"/>
      <c r="U204" s="23"/>
      <c r="V204" s="30"/>
      <c r="W204" s="30"/>
      <c r="X204" s="30"/>
      <c r="Y204" s="494"/>
      <c r="Z204" s="30"/>
      <c r="AA204" s="30"/>
      <c r="AB204" s="30"/>
      <c r="AC204" s="1172" t="b">
        <f>AC202</f>
        <v>0</v>
      </c>
      <c r="AD204" s="30"/>
      <c r="AE204" s="30"/>
      <c r="AF204" s="58"/>
      <c r="AG204" s="30"/>
      <c r="AH204" s="30"/>
      <c r="AI204" s="30"/>
      <c r="AJ204" s="504"/>
      <c r="AK204" s="504"/>
      <c r="AL204" s="342"/>
      <c r="AM204" s="30"/>
      <c r="AN204" s="30"/>
      <c r="AO204" s="30"/>
      <c r="AP204" s="30"/>
      <c r="AQ204" s="30"/>
      <c r="AR204" s="30"/>
      <c r="AS204" s="30"/>
      <c r="AT204" s="1172"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2" t="b">
        <f>OR(BZ202,AND(NOT(ISBLANK(L202)),L202=FALSE))</f>
        <v>1</v>
      </c>
    </row>
    <row r="205" spans="1:78" s="142" customFormat="1" ht="4.5" hidden="1" customHeight="1">
      <c r="A205" s="808"/>
      <c r="B205" s="166"/>
      <c r="C205" s="166"/>
      <c r="D205" s="166"/>
      <c r="E205" s="166"/>
      <c r="F205" s="166"/>
      <c r="G205" s="166"/>
      <c r="M205" s="143"/>
      <c r="N205" s="143"/>
      <c r="O205" s="733"/>
      <c r="P205" s="23"/>
      <c r="Q205" s="23"/>
      <c r="R205" s="23"/>
      <c r="S205" s="23"/>
      <c r="T205" s="23"/>
      <c r="U205" s="23"/>
      <c r="V205" s="30"/>
      <c r="W205" s="30"/>
      <c r="X205" s="30"/>
      <c r="Y205" s="494"/>
      <c r="Z205" s="30"/>
      <c r="AA205" s="30"/>
      <c r="AB205" s="30"/>
      <c r="AC205" s="30"/>
      <c r="AD205" s="30"/>
      <c r="AE205" s="30"/>
      <c r="AF205" s="58"/>
      <c r="AG205" s="30"/>
      <c r="AH205" s="30"/>
      <c r="AI205" s="30"/>
      <c r="AJ205" s="504"/>
      <c r="AK205" s="504"/>
      <c r="AL205" s="342"/>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hidden="1" customHeight="1" thickBot="1">
      <c r="A206" s="808"/>
      <c r="B206" s="166"/>
      <c r="C206" s="166"/>
      <c r="D206" s="166"/>
      <c r="E206" s="166"/>
      <c r="F206" s="506" t="str">
        <f>Translations!$B$333</f>
        <v>Pakopa</v>
      </c>
      <c r="G206" s="1557" t="str">
        <f>Translations!$B$672</f>
        <v>pakopos aprašas</v>
      </c>
      <c r="H206" s="1557"/>
      <c r="I206" s="1555" t="str">
        <f>Translations!$B$158</f>
        <v>Vienetas</v>
      </c>
      <c r="J206" s="1555"/>
      <c r="K206" s="1555" t="str">
        <f>Translations!$B$673</f>
        <v>Vertė</v>
      </c>
      <c r="L206" s="1555"/>
      <c r="M206" s="507" t="str">
        <f>Translations!$B$610</f>
        <v>klaida</v>
      </c>
      <c r="O206" s="733"/>
      <c r="P206" s="508"/>
      <c r="Q206" s="352" t="str">
        <f>EUconst_SumEnergyIN &amp; "_" &amp; K197</f>
        <v>SUM_EnergyIN_</v>
      </c>
      <c r="R206" s="399" t="str">
        <f>IF(OR(K197="",T198)=TRUE,"",INDEX(BC212:BE212,MATCH(K197,BC207:BE207,0)))</f>
        <v/>
      </c>
      <c r="S206" s="30"/>
      <c r="T206" s="489"/>
      <c r="U206" s="30"/>
      <c r="V206" s="509" t="s">
        <v>303</v>
      </c>
      <c r="W206" s="30"/>
      <c r="X206" s="30"/>
      <c r="Y206" s="494" t="s">
        <v>566</v>
      </c>
      <c r="Z206" s="494" t="s">
        <v>318</v>
      </c>
      <c r="AA206" s="30"/>
      <c r="AB206" s="30"/>
      <c r="AC206" s="505" t="s">
        <v>309</v>
      </c>
      <c r="AD206" s="30"/>
      <c r="AE206" s="30"/>
      <c r="AF206" s="492" t="s">
        <v>305</v>
      </c>
      <c r="AG206" s="492" t="s">
        <v>306</v>
      </c>
      <c r="AH206" s="494" t="s">
        <v>304</v>
      </c>
      <c r="AI206" s="504" t="s">
        <v>307</v>
      </c>
      <c r="AJ206" s="504" t="s">
        <v>567</v>
      </c>
      <c r="AK206" s="510" t="s">
        <v>311</v>
      </c>
      <c r="AL206" s="342"/>
      <c r="AM206" s="30"/>
      <c r="AN206" s="492" t="s">
        <v>305</v>
      </c>
      <c r="AO206" s="492" t="s">
        <v>306</v>
      </c>
      <c r="AP206" s="511" t="s">
        <v>310</v>
      </c>
      <c r="AQ206" s="504" t="s">
        <v>569</v>
      </c>
      <c r="AR206" s="504" t="s">
        <v>568</v>
      </c>
      <c r="AS206" s="510" t="s">
        <v>311</v>
      </c>
      <c r="AT206" s="510" t="s">
        <v>311</v>
      </c>
      <c r="AU206" s="30"/>
      <c r="AV206" s="492"/>
      <c r="AW206" s="492"/>
      <c r="AX206" s="492" t="s">
        <v>321</v>
      </c>
      <c r="AY206" s="492"/>
      <c r="AZ206" s="492"/>
      <c r="BA206" s="492"/>
      <c r="BB206" s="492"/>
      <c r="BC206" s="492"/>
      <c r="BD206" s="492"/>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3" t="s">
        <v>262</v>
      </c>
    </row>
    <row r="207" spans="1:78" s="142" customFormat="1" ht="12.75" hidden="1" customHeight="1" thickBot="1">
      <c r="A207" s="808"/>
      <c r="B207" s="166"/>
      <c r="C207" s="777" t="s">
        <v>196</v>
      </c>
      <c r="D207" s="512" t="str">
        <f>Translations!$B$622</f>
        <v>VD:</v>
      </c>
      <c r="E207" s="513"/>
      <c r="F207" s="402"/>
      <c r="G207" s="1532" t="str">
        <f>IF(OR(ISBLANK(F207),F207=EUconst_NoTier),"",IF(Z207=0,EUconst_NA,IF(ISERROR(Z207),"",Z207)))</f>
        <v/>
      </c>
      <c r="H207" s="1533"/>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0"/>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0"/>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0"/>
      <c r="AV207" s="492" t="s">
        <v>314</v>
      </c>
      <c r="AW207" s="492" t="s">
        <v>319</v>
      </c>
      <c r="AX207" s="524"/>
      <c r="AY207" s="30" t="s">
        <v>542</v>
      </c>
      <c r="AZ207" s="30"/>
      <c r="BA207" s="30"/>
      <c r="BB207" s="504"/>
      <c r="BC207" s="493" t="str">
        <f>EUconst_Fuel</f>
        <v>Degimas</v>
      </c>
      <c r="BD207" s="493" t="str">
        <f>EUconst_ProcessCarbonate</f>
        <v>Proceso metu išsiskiriančios ŠESD</v>
      </c>
      <c r="BE207" s="493"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4" t="b">
        <f>BZ202</f>
        <v>1</v>
      </c>
    </row>
    <row r="208" spans="1:78" s="142" customFormat="1" ht="5.0999999999999996" hidden="1" customHeight="1">
      <c r="A208" s="808"/>
      <c r="B208" s="166"/>
      <c r="C208" s="814"/>
      <c r="D208" s="306"/>
      <c r="F208" s="143"/>
      <c r="G208" s="143"/>
      <c r="H208" s="143" t="s">
        <v>236</v>
      </c>
      <c r="I208" s="525"/>
      <c r="J208" s="525"/>
      <c r="K208" s="143"/>
      <c r="L208" s="143"/>
      <c r="M208" s="710"/>
      <c r="O208" s="733"/>
      <c r="P208" s="33"/>
      <c r="Q208" s="33"/>
      <c r="R208" s="33"/>
      <c r="S208" s="30"/>
      <c r="T208" s="155"/>
      <c r="U208" s="497"/>
      <c r="V208" s="30"/>
      <c r="W208" s="30"/>
      <c r="X208" s="497"/>
      <c r="Y208" s="526"/>
      <c r="Z208" s="30"/>
      <c r="AA208" s="30"/>
      <c r="AB208" s="30"/>
      <c r="AC208" s="30"/>
      <c r="AD208" s="30"/>
      <c r="AE208" s="30"/>
      <c r="AF208" s="30"/>
      <c r="AG208" s="30"/>
      <c r="AH208" s="30"/>
      <c r="AI208" s="30"/>
      <c r="AJ208" s="30"/>
      <c r="AK208" s="30"/>
      <c r="AL208" s="342"/>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3"/>
    </row>
    <row r="209" spans="1:78" s="142" customFormat="1" ht="12.75" hidden="1" customHeight="1" thickBot="1">
      <c r="A209" s="808"/>
      <c r="B209" s="166"/>
      <c r="C209" s="814" t="s">
        <v>197</v>
      </c>
      <c r="D209" s="512" t="str">
        <f>Translations!$B$634</f>
        <v>(prelim.) ITF:</v>
      </c>
      <c r="E209" s="513"/>
      <c r="F209" s="527"/>
      <c r="G209" s="1532" t="str">
        <f t="shared" ref="G209:G215" si="35">IF(OR(ISBLANK(F209),F209=EUconst_NoTier),"",IF(Z209=0,EUconst_NotApplicable,IF(ISERROR(Z209),"",Z209)))</f>
        <v/>
      </c>
      <c r="H209" s="1556"/>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3"/>
      <c r="Q209" s="33"/>
      <c r="R209" s="33"/>
      <c r="S209" s="30"/>
      <c r="T209" s="530" t="str">
        <f>EUconst_CNTR_EF&amp;E198</f>
        <v>EF_</v>
      </c>
      <c r="U209" s="497"/>
      <c r="V209" s="531" t="str">
        <f>V207</f>
        <v/>
      </c>
      <c r="W209" s="30"/>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0"/>
      <c r="AC209" s="535" t="b">
        <f>AND(AC207,Y209&lt;&gt;EUconst_NA)</f>
        <v>0</v>
      </c>
      <c r="AD209" s="30"/>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0"/>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0"/>
      <c r="BA209" s="30"/>
      <c r="BB209" s="547" t="s">
        <v>594</v>
      </c>
      <c r="BC209" s="546" t="str">
        <f>IF(K197=BC207,AR207*IF(AJ209=EUconst_tCO2pTJ,(AR210/1000),1)*AR209*AR211*AR215,"")</f>
        <v/>
      </c>
      <c r="BD209" s="524" t="str">
        <f>IF(K197=BD207,AR207*AR209*AR212*AR215,"")</f>
        <v/>
      </c>
      <c r="BE209" s="523"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1" t="b">
        <f>OR(BZ207,Y209=EUconst_NA)</f>
        <v>1</v>
      </c>
    </row>
    <row r="210" spans="1:78" s="142" customFormat="1" ht="12.75" hidden="1" customHeight="1" thickBot="1">
      <c r="A210" s="808"/>
      <c r="B210" s="166"/>
      <c r="C210" s="814" t="s">
        <v>198</v>
      </c>
      <c r="D210" s="512" t="str">
        <f>Translations!$B$636</f>
        <v>GŠV:</v>
      </c>
      <c r="E210" s="513"/>
      <c r="F210" s="548"/>
      <c r="G210" s="1532" t="str">
        <f t="shared" si="35"/>
        <v/>
      </c>
      <c r="H210" s="1533"/>
      <c r="I210" s="1169" t="str">
        <f>AJ210</f>
        <v/>
      </c>
      <c r="J210" s="549"/>
      <c r="K210" s="550" t="str">
        <f t="shared" si="36"/>
        <v/>
      </c>
      <c r="L210" s="551"/>
      <c r="M210" s="709" t="str">
        <f>IF(AND(E198&lt;&gt;"",OR(F210="",COUNT(K210:L210)=0),Y210&lt;&gt;EUconst_NA,T198&lt;&gt;TRUE),EUconst_ERR_Incomplete,IF(COUNTIF(AX210:AZ210,TRUE)&gt;0,EUconst_ERR_Inconsistent,""))</f>
        <v/>
      </c>
      <c r="O210" s="733"/>
      <c r="P210" s="33"/>
      <c r="Q210" s="33"/>
      <c r="R210" s="33"/>
      <c r="S210" s="30"/>
      <c r="T210" s="552" t="str">
        <f>EUconst_CNTR_NCV&amp;E198</f>
        <v>NCV_</v>
      </c>
      <c r="U210" s="497"/>
      <c r="V210" s="553" t="str">
        <f t="shared" ref="V210:V215" si="41">V209</f>
        <v/>
      </c>
      <c r="W210" s="30"/>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0"/>
      <c r="AC210" s="557" t="b">
        <f>AND(AC207,Y210&lt;&gt;EUconst_NA)</f>
        <v>0</v>
      </c>
      <c r="AD210" s="30"/>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0"/>
      <c r="AV210" s="567" t="b">
        <f t="shared" si="38"/>
        <v>0</v>
      </c>
      <c r="AW210" s="568" t="b">
        <f t="shared" si="39"/>
        <v>0</v>
      </c>
      <c r="AX210" s="30"/>
      <c r="AY210" s="553" t="b">
        <f t="shared" si="40"/>
        <v>0</v>
      </c>
      <c r="AZ210" s="30"/>
      <c r="BA210" s="30"/>
      <c r="BB210" s="547" t="s">
        <v>595</v>
      </c>
      <c r="BC210" s="546" t="str">
        <f>IF(K197=BC207,AR207*IF(AJ209=EUconst_tCO2pTJ,(AR210/1000),1)*AR209*AR211*AR214,"")</f>
        <v/>
      </c>
      <c r="BD210" s="524" t="str">
        <f>IF(K197=BD207,AR207*AR209*AR212*AR214,"")</f>
        <v/>
      </c>
      <c r="BE210" s="523"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3" t="b">
        <f>OR(BZ207,Y210=EUconst_NA)</f>
        <v>1</v>
      </c>
    </row>
    <row r="211" spans="1:78" s="142" customFormat="1" ht="12.75" hidden="1" customHeight="1" thickBot="1">
      <c r="A211" s="808"/>
      <c r="B211" s="166"/>
      <c r="C211" s="814" t="s">
        <v>199</v>
      </c>
      <c r="D211" s="512" t="str">
        <f>Translations!$B$638</f>
        <v>OksK:</v>
      </c>
      <c r="E211" s="513"/>
      <c r="F211" s="548"/>
      <c r="G211" s="1532" t="str">
        <f t="shared" si="35"/>
        <v/>
      </c>
      <c r="H211" s="1533"/>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3"/>
      <c r="Q211" s="33"/>
      <c r="R211" s="33"/>
      <c r="S211" s="30"/>
      <c r="T211" s="552" t="str">
        <f>EUconst_CNTR_OxidationFactor&amp;E198</f>
        <v>OxF_</v>
      </c>
      <c r="U211" s="497"/>
      <c r="V211" s="553" t="str">
        <f t="shared" si="41"/>
        <v/>
      </c>
      <c r="W211" s="30"/>
      <c r="X211" s="497"/>
      <c r="Y211" s="554" t="str">
        <f>IF(OR(T198=TRUE,E198=""),"",INDEX(EUwideConstants!$N:$N,MATCH(T211,EUwideConstants!$Q:$Q,0)))</f>
        <v/>
      </c>
      <c r="Z211" s="555" t="str">
        <f>IF(ISBLANK(F211),"",IF(F211=EUconst_NA,"",INDEX(EUwideConstants!$H:$M,MATCH(T211,EUwideConstants!$Q:$Q,0),MATCH(F211,CNTR_TierList,0))))</f>
        <v/>
      </c>
      <c r="AA211" s="534" t="str">
        <f>IF(F211=1,1,"")</f>
        <v/>
      </c>
      <c r="AB211" s="30"/>
      <c r="AC211" s="557" t="b">
        <f>AND(AC207,Y211&lt;&gt;EUconst_NA)</f>
        <v>0</v>
      </c>
      <c r="AD211" s="30"/>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0"/>
      <c r="AV211" s="567" t="b">
        <f t="shared" si="38"/>
        <v>0</v>
      </c>
      <c r="AW211" s="568" t="b">
        <f t="shared" si="39"/>
        <v>0</v>
      </c>
      <c r="AX211" s="30"/>
      <c r="AY211" s="594" t="b">
        <f t="shared" si="40"/>
        <v>0</v>
      </c>
      <c r="AZ211" s="531" t="b">
        <f>AR211&gt;100%</f>
        <v>0</v>
      </c>
      <c r="BA211" s="30"/>
      <c r="BB211" s="547" t="s">
        <v>290</v>
      </c>
      <c r="BC211" s="546" t="str">
        <f>IF(K197=BC207,AR207*IF(AJ209=EUconst_tCO2pTJ,(AR210/1000),1)*AR209*AR211*(1-AR214),"")</f>
        <v/>
      </c>
      <c r="BD211" s="524" t="str">
        <f>IF(K197=BD207,AR207*AR209*AR212*(1-AR214),"")</f>
        <v/>
      </c>
      <c r="BE211" s="523"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3" t="b">
        <f>OR(BZ207,Y211=EUconst_NA)</f>
        <v>1</v>
      </c>
    </row>
    <row r="212" spans="1:78" s="142" customFormat="1" ht="12.75" hidden="1" customHeight="1" thickBot="1">
      <c r="A212" s="808"/>
      <c r="B212" s="166"/>
      <c r="C212" s="814" t="s">
        <v>200</v>
      </c>
      <c r="D212" s="512" t="str">
        <f>Translations!$B$639</f>
        <v>KonvK:</v>
      </c>
      <c r="E212" s="513"/>
      <c r="F212" s="548"/>
      <c r="G212" s="1532" t="str">
        <f t="shared" si="35"/>
        <v/>
      </c>
      <c r="H212" s="1533"/>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3"/>
      <c r="Q212" s="33"/>
      <c r="R212" s="33"/>
      <c r="S212" s="30"/>
      <c r="T212" s="552" t="str">
        <f>EUconst_CNTR_ConversionFactor&amp;E198</f>
        <v>ConvF_</v>
      </c>
      <c r="U212" s="497"/>
      <c r="V212" s="553" t="str">
        <f t="shared" si="41"/>
        <v/>
      </c>
      <c r="W212" s="30"/>
      <c r="X212" s="497"/>
      <c r="Y212" s="554" t="str">
        <f>IF(OR(T198=TRUE,E198=""),"",INDEX(EUwideConstants!$N:$N,MATCH(T212,EUwideConstants!$Q:$Q,0)))</f>
        <v/>
      </c>
      <c r="Z212" s="555" t="str">
        <f>IF(ISBLANK(F212),"",IF(F212=EUconst_NA,"",INDEX(EUwideConstants!$H:$M,MATCH(T212,EUwideConstants!$Q:$Q,0),MATCH(F212,CNTR_TierList,0))))</f>
        <v/>
      </c>
      <c r="AA212" s="582" t="str">
        <f>IF(F212=1,1,"")</f>
        <v/>
      </c>
      <c r="AB212" s="30"/>
      <c r="AC212" s="557" t="b">
        <f>AND(AC207,Y212&lt;&gt;EUconst_NA)</f>
        <v>0</v>
      </c>
      <c r="AD212" s="30"/>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0"/>
      <c r="AV212" s="567" t="b">
        <f t="shared" si="38"/>
        <v>0</v>
      </c>
      <c r="AW212" s="568" t="b">
        <f t="shared" si="39"/>
        <v>0</v>
      </c>
      <c r="AX212" s="30"/>
      <c r="AY212" s="594" t="b">
        <f t="shared" si="40"/>
        <v>0</v>
      </c>
      <c r="AZ212" s="580" t="b">
        <f>AR212&gt;100%</f>
        <v>0</v>
      </c>
      <c r="BA212" s="30"/>
      <c r="BB212" s="578" t="s">
        <v>487</v>
      </c>
      <c r="BC212" s="579">
        <f>AR207*AR210/1000*(1-AR214)</f>
        <v>0</v>
      </c>
      <c r="BD212" s="580">
        <f>BC212</f>
        <v>0</v>
      </c>
      <c r="BE212" s="581">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3" t="b">
        <f>OR(BZ207,Y212=EUconst_NA)</f>
        <v>1</v>
      </c>
    </row>
    <row r="213" spans="1:78" s="142" customFormat="1" ht="12.75" hidden="1" customHeight="1" thickBot="1">
      <c r="A213" s="808"/>
      <c r="B213" s="166"/>
      <c r="C213" s="814" t="s">
        <v>329</v>
      </c>
      <c r="D213" s="512" t="str">
        <f>Translations!$B$640</f>
        <v>AnglK:</v>
      </c>
      <c r="E213" s="513"/>
      <c r="F213" s="548"/>
      <c r="G213" s="1532" t="str">
        <f t="shared" si="35"/>
        <v/>
      </c>
      <c r="H213" s="1533"/>
      <c r="I213" s="1170" t="str">
        <f>AJ213</f>
        <v/>
      </c>
      <c r="J213" s="586"/>
      <c r="K213" s="587" t="str">
        <f t="shared" si="36"/>
        <v/>
      </c>
      <c r="L213" s="588"/>
      <c r="M213" s="709" t="str">
        <f>IF(AND(E198&lt;&gt;"",OR(F213="",COUNT(K213:L213)=0),Y213&lt;&gt;EUconst_NA,T198&lt;&gt;TRUE),EUconst_ERR_Incomplete,IF(COUNTIF(AX213:AZ213,TRUE)&gt;0,EUconst_ERR_Inconsistent,""))</f>
        <v/>
      </c>
      <c r="O213" s="733"/>
      <c r="P213" s="33"/>
      <c r="Q213" s="33"/>
      <c r="R213" s="33"/>
      <c r="S213" s="30"/>
      <c r="T213" s="552" t="str">
        <f>EUconst_CNTR_CarbonContent&amp;E198</f>
        <v>CarbC_</v>
      </c>
      <c r="U213" s="497"/>
      <c r="V213" s="553" t="str">
        <f t="shared" si="41"/>
        <v/>
      </c>
      <c r="W213" s="30"/>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0"/>
      <c r="AC213" s="557" t="b">
        <f>AND(AC207,Y213&lt;&gt;EUconst_NA)</f>
        <v>0</v>
      </c>
      <c r="AD213" s="30"/>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0"/>
      <c r="AV213" s="567" t="b">
        <f t="shared" si="38"/>
        <v>0</v>
      </c>
      <c r="AW213" s="568" t="b">
        <f t="shared" si="39"/>
        <v>0</v>
      </c>
      <c r="AX213" s="546" t="b">
        <f>OR(AND(AJ207=EUconst_kNm3,AJ213=EUconst_tCpt),AND(AJ207=EUconst_t,AJ213=EUconst_tCpkNm3))</f>
        <v>0</v>
      </c>
      <c r="AY213" s="553" t="b">
        <f t="shared" si="40"/>
        <v>0</v>
      </c>
      <c r="AZ213" s="30"/>
      <c r="BA213" s="30"/>
      <c r="BB213" s="578" t="s">
        <v>488</v>
      </c>
      <c r="BC213" s="579">
        <f>AR207*AR210/1000*AR214</f>
        <v>0</v>
      </c>
      <c r="BD213" s="580">
        <f>BC213</f>
        <v>0</v>
      </c>
      <c r="BE213" s="581">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3" t="b">
        <f>OR(BZ207,Y213=EUconst_NA)</f>
        <v>1</v>
      </c>
    </row>
    <row r="214" spans="1:78" s="142" customFormat="1" ht="12.75" hidden="1" customHeight="1">
      <c r="A214" s="808"/>
      <c r="B214" s="166"/>
      <c r="C214" s="777" t="s">
        <v>330</v>
      </c>
      <c r="D214" s="512" t="str">
        <f>Translations!$B$641</f>
        <v>BioC:</v>
      </c>
      <c r="E214" s="513"/>
      <c r="F214" s="548"/>
      <c r="G214" s="1532" t="str">
        <f t="shared" si="35"/>
        <v/>
      </c>
      <c r="H214" s="1533"/>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0"/>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0"/>
      <c r="AC214" s="557" t="b">
        <f>AND(AC207,Y214&lt;&gt;EUconst_NA)</f>
        <v>0</v>
      </c>
      <c r="AD214" s="30"/>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0"/>
      <c r="AV214" s="567" t="b">
        <f t="shared" si="38"/>
        <v>0</v>
      </c>
      <c r="AW214" s="568" t="b">
        <f t="shared" si="39"/>
        <v>0</v>
      </c>
      <c r="AX214" s="30"/>
      <c r="AY214" s="594" t="b">
        <f t="shared" si="40"/>
        <v>0</v>
      </c>
      <c r="AZ214" s="531"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3" t="b">
        <f>OR(BZ207,Y214=EUconst_NA)</f>
        <v>1</v>
      </c>
    </row>
    <row r="215" spans="1:78" s="142" customFormat="1" ht="12.75" hidden="1" customHeight="1" thickBot="1">
      <c r="A215" s="808"/>
      <c r="B215" s="166"/>
      <c r="C215" s="777" t="s">
        <v>454</v>
      </c>
      <c r="D215" s="512" t="str">
        <f>Translations!$B$647</f>
        <v>Netvar. BioC:</v>
      </c>
      <c r="E215" s="513"/>
      <c r="F215" s="597"/>
      <c r="G215" s="1532" t="str">
        <f t="shared" si="35"/>
        <v/>
      </c>
      <c r="H215" s="1533"/>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0"/>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0"/>
      <c r="AC215" s="603" t="b">
        <f>AND(AC207,Y215&lt;&gt;EUconst_NA)</f>
        <v>0</v>
      </c>
      <c r="AD215" s="30"/>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0"/>
      <c r="AV215" s="613" t="b">
        <f t="shared" si="38"/>
        <v>0</v>
      </c>
      <c r="AW215" s="614" t="b">
        <f t="shared" si="39"/>
        <v>0</v>
      </c>
      <c r="AX215" s="30"/>
      <c r="AY215" s="579" t="b">
        <f t="shared" si="40"/>
        <v>0</v>
      </c>
      <c r="AZ215" s="580"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80" t="b">
        <f>OR(BZ207,Y215=EUconst_NA)</f>
        <v>1</v>
      </c>
    </row>
    <row r="216" spans="1:78" s="142" customFormat="1" ht="5.0999999999999996" hidden="1" customHeight="1">
      <c r="A216" s="808"/>
      <c r="B216" s="166"/>
      <c r="C216" s="166"/>
      <c r="D216" s="180"/>
      <c r="O216" s="733"/>
      <c r="P216" s="33"/>
      <c r="Q216" s="33"/>
      <c r="R216" s="33"/>
      <c r="S216" s="174"/>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hidden="1" customHeight="1">
      <c r="A217" s="808"/>
      <c r="B217" s="166"/>
      <c r="C217" s="166"/>
      <c r="D217" s="1558" t="str">
        <f>Translations!$B$674</f>
        <v>Pakopos galioja nuo:</v>
      </c>
      <c r="E217" s="1558"/>
      <c r="F217" s="1559"/>
      <c r="G217" s="1052"/>
      <c r="H217" s="615" t="str">
        <f>Translations!$B$675</f>
        <v>iki:</v>
      </c>
      <c r="I217" s="1052"/>
      <c r="J217" s="1536" t="str">
        <f>Translations!$B$676</f>
        <v>Atliekų katalogo numeris (jeigu taikytina):</v>
      </c>
      <c r="K217" s="1537"/>
      <c r="L217" s="1537"/>
      <c r="M217" s="1538"/>
      <c r="N217" s="1289"/>
      <c r="O217" s="733"/>
      <c r="P217" s="33"/>
      <c r="Q217" s="33"/>
      <c r="R217" s="33"/>
      <c r="S217" s="1290"/>
      <c r="T217" s="492"/>
      <c r="U217" s="492"/>
      <c r="V217" s="48" t="b">
        <f>IF(V207="",FALSE,INDEX(CNTR_IsWaste,MATCH(V207,MSParameters!$A$218:$A$376,0)))</f>
        <v>0</v>
      </c>
      <c r="W217" s="1290"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hidden="1" customHeight="1">
      <c r="A218" s="808"/>
      <c r="B218" s="166"/>
      <c r="C218" s="166"/>
      <c r="D218" s="615"/>
      <c r="E218" s="495"/>
      <c r="F218" s="495"/>
      <c r="G218" s="495"/>
      <c r="H218" s="495"/>
      <c r="I218" s="495"/>
      <c r="J218" s="495"/>
      <c r="K218" s="495"/>
      <c r="L218" s="495"/>
      <c r="M218" s="495"/>
      <c r="N218" s="495"/>
      <c r="O218" s="733"/>
      <c r="P218" s="33"/>
      <c r="Q218" s="33"/>
      <c r="R218" s="33"/>
      <c r="S218" s="174"/>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hidden="1" customHeight="1">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3"/>
      <c r="Q219" s="33"/>
      <c r="R219" s="33"/>
      <c r="S219" s="174"/>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4.5" hidden="1" customHeight="1">
      <c r="A220" s="815"/>
      <c r="D220" s="180"/>
      <c r="O220" s="573"/>
      <c r="P220" s="497"/>
      <c r="Q220" s="497"/>
      <c r="R220" s="497"/>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hidden="1">
      <c r="A221" s="815"/>
      <c r="D221" s="1534" t="str">
        <f>Translations!$B$160</f>
        <v>Pastabos:</v>
      </c>
      <c r="E221" s="1535"/>
      <c r="F221" s="1539"/>
      <c r="G221" s="1540"/>
      <c r="H221" s="1540"/>
      <c r="I221" s="1540"/>
      <c r="J221" s="1540"/>
      <c r="K221" s="1540"/>
      <c r="L221" s="1540"/>
      <c r="M221" s="1540"/>
      <c r="N221" s="1541"/>
      <c r="O221" s="573"/>
      <c r="P221" s="497"/>
      <c r="Q221" s="497"/>
      <c r="R221" s="497"/>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hidden="1" customHeight="1" thickBot="1">
      <c r="A222" s="808"/>
      <c r="B222" s="495"/>
      <c r="C222" s="499"/>
      <c r="D222" s="500"/>
      <c r="E222" s="501"/>
      <c r="F222" s="499"/>
      <c r="G222" s="502"/>
      <c r="H222" s="502"/>
      <c r="I222" s="502"/>
      <c r="J222" s="502"/>
      <c r="K222" s="502"/>
      <c r="L222" s="502"/>
      <c r="M222" s="502"/>
      <c r="N222" s="502"/>
      <c r="O222" s="740"/>
      <c r="P222" s="494"/>
      <c r="Q222" s="494"/>
      <c r="R222" s="494"/>
      <c r="S222" s="58"/>
      <c r="T222" s="58"/>
      <c r="U222" s="498"/>
      <c r="V222" s="58"/>
      <c r="W222" s="58"/>
      <c r="X222" s="49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hidden="1" customHeight="1" thickBot="1">
      <c r="A223" s="813"/>
      <c r="B223" s="495"/>
      <c r="C223" s="495"/>
      <c r="D223" s="180"/>
      <c r="E223" s="496"/>
      <c r="F223" s="495"/>
      <c r="G223" s="487"/>
      <c r="H223" s="487"/>
      <c r="I223" s="487"/>
      <c r="J223" s="487"/>
      <c r="K223" s="495"/>
      <c r="L223" s="487"/>
      <c r="M223" s="487"/>
      <c r="N223" s="487"/>
      <c r="O223" s="740"/>
      <c r="P223" s="494"/>
      <c r="Q223" s="494"/>
      <c r="R223" s="494"/>
      <c r="S223" s="23"/>
      <c r="T223" s="27" t="str">
        <f>IF(ISBLANK(E224),"",MATCH(E224,CNTR_SourceStreamNames,0))</f>
        <v/>
      </c>
      <c r="U223" s="618"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1"/>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3" t="s">
        <v>262</v>
      </c>
    </row>
    <row r="224" spans="1:78" s="142" customFormat="1" ht="15" hidden="1" customHeight="1" thickBot="1">
      <c r="A224" s="869" t="str">
        <f>IF(E224="","","PRINT")</f>
        <v/>
      </c>
      <c r="B224" s="166"/>
      <c r="C224" s="617">
        <f>C197+1</f>
        <v>7</v>
      </c>
      <c r="D224" s="166"/>
      <c r="E224" s="1542"/>
      <c r="F224" s="1543"/>
      <c r="G224" s="1543"/>
      <c r="H224" s="1543"/>
      <c r="I224" s="1543"/>
      <c r="J224" s="1544"/>
      <c r="K224" s="1545" t="str">
        <f>IF(E225="","",INDEX(EUwideConstants!$F$353:$F$394,MATCH(E225,EUConst_TierActivityListNames,0)))</f>
        <v/>
      </c>
      <c r="L224" s="1546"/>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3"/>
      <c r="T224" s="509" t="s">
        <v>393</v>
      </c>
      <c r="U224" s="23"/>
      <c r="V224" s="78"/>
      <c r="W224" s="56"/>
      <c r="X224" s="58"/>
      <c r="Y224" s="58"/>
      <c r="Z224" s="58"/>
      <c r="AA224" s="58"/>
      <c r="AB224" s="58"/>
      <c r="AC224" s="58"/>
      <c r="AD224" s="58"/>
      <c r="AE224" s="58"/>
      <c r="AF224" s="58"/>
      <c r="AG224" s="58"/>
      <c r="AH224" s="58"/>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6"/>
      <c r="BZ224" s="619" t="b">
        <f>CNTR_CalcRelevant=EUconst_NotRelevant</f>
        <v>0</v>
      </c>
    </row>
    <row r="225" spans="1:78" s="142" customFormat="1" ht="15" hidden="1" customHeight="1" thickBot="1">
      <c r="A225" s="808"/>
      <c r="B225" s="166"/>
      <c r="C225" s="166"/>
      <c r="D225" s="166"/>
      <c r="E225" s="1547" t="str">
        <f>IF(ISBLANK(E224),"",IF(INDEX(B_InstallationDescription!$E$71:$E$145,MATCH(U223,B_InstallationDescription!$D$71:$D$145,0))&gt;0,INDEX(B_InstallationDescription!$E$71:$E$145,MATCH(U223,B_InstallationDescription!$D$71:$D$145,0)),""))</f>
        <v/>
      </c>
      <c r="F225" s="1548"/>
      <c r="G225" s="1548"/>
      <c r="H225" s="1548"/>
      <c r="I225" s="1548"/>
      <c r="J225" s="1549"/>
      <c r="M225" s="346" t="str">
        <f>Translations!$B$666</f>
        <v>CO2, biomasės kilmės.:</v>
      </c>
      <c r="N225" s="1051" t="str">
        <f>IF(OR(K224="",T225=TRUE),"",INDEX(BC237:BE237,MATCH(K224,BC234:BE234,0)))</f>
        <v/>
      </c>
      <c r="O225" s="742" t="s">
        <v>260</v>
      </c>
      <c r="P225" s="494"/>
      <c r="Q225" s="352" t="str">
        <f>EUconst_SumBioCO2 &amp; "_" &amp; K224</f>
        <v>SUM_bioCO2_</v>
      </c>
      <c r="R225" s="494"/>
      <c r="S225" s="23"/>
      <c r="T225" s="48" t="str">
        <f>IF(E225="","",MATCH(E225,EUConst_TierActivityListNames,0)&gt;40)</f>
        <v/>
      </c>
      <c r="U225" s="23"/>
      <c r="V225" s="78"/>
      <c r="W225" s="56"/>
      <c r="X225" s="58"/>
      <c r="Y225" s="27" t="s">
        <v>93</v>
      </c>
      <c r="Z225" s="30"/>
      <c r="AA225" s="30"/>
      <c r="AB225" s="30"/>
      <c r="AC225" s="30"/>
      <c r="AD225" s="30"/>
      <c r="AE225" s="27" t="s">
        <v>302</v>
      </c>
      <c r="AF225" s="58"/>
      <c r="AG225" s="504"/>
      <c r="AH225" s="30"/>
      <c r="AI225" s="30"/>
      <c r="AJ225" s="504"/>
      <c r="AK225" s="504"/>
      <c r="AL225" s="342"/>
      <c r="AM225" s="27" t="s">
        <v>308</v>
      </c>
      <c r="AN225" s="505"/>
      <c r="AO225" s="505"/>
      <c r="AP225" s="30"/>
      <c r="AQ225" s="30"/>
      <c r="AR225" s="30"/>
      <c r="AS225" s="30"/>
      <c r="AT225" s="30"/>
      <c r="AU225" s="30"/>
      <c r="AV225" s="27" t="s">
        <v>315</v>
      </c>
      <c r="AW225" s="30"/>
      <c r="AX225" s="492"/>
      <c r="AY225" s="30"/>
      <c r="AZ225" s="30"/>
      <c r="BA225" s="30"/>
      <c r="BB225" s="27" t="s">
        <v>219</v>
      </c>
      <c r="BC225" s="30"/>
      <c r="BD225" s="30"/>
      <c r="BE225" s="30"/>
      <c r="BF225" s="30"/>
      <c r="BG225" s="27"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0"/>
      <c r="BZ225" s="30"/>
    </row>
    <row r="226" spans="1:78" s="142" customFormat="1" ht="5.0999999999999996" hidden="1" customHeight="1">
      <c r="A226" s="808"/>
      <c r="B226" s="166"/>
      <c r="C226" s="166"/>
      <c r="D226" s="166"/>
      <c r="E226" s="166"/>
      <c r="F226" s="166"/>
      <c r="G226" s="166"/>
      <c r="M226" s="143"/>
      <c r="N226" s="143"/>
      <c r="O226" s="733"/>
      <c r="P226" s="33"/>
      <c r="Q226" s="33"/>
      <c r="R226" s="33"/>
      <c r="S226" s="23"/>
      <c r="T226" s="23"/>
      <c r="U226" s="23"/>
      <c r="V226" s="78"/>
      <c r="W226" s="30"/>
      <c r="X226" s="30"/>
      <c r="Y226" s="494"/>
      <c r="Z226" s="30"/>
      <c r="AA226" s="30"/>
      <c r="AB226" s="30"/>
      <c r="AC226" s="30"/>
      <c r="AD226" s="30"/>
      <c r="AE226" s="30"/>
      <c r="AF226" s="58"/>
      <c r="AG226" s="30"/>
      <c r="AH226" s="30"/>
      <c r="AI226" s="30"/>
      <c r="AJ226" s="504"/>
      <c r="AK226" s="504"/>
      <c r="AL226" s="342"/>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hidden="1" customHeight="1" thickBot="1">
      <c r="A227" s="808"/>
      <c r="B227" s="166"/>
      <c r="C227" s="166"/>
      <c r="D227" s="166"/>
      <c r="E227" s="1550" t="str">
        <f>IF(E224="","",IF(T225=TRUE,HYPERLINK("#JUMP_14",EUconst_MsgGoOnPFC),HYPERLINK("#JUMP_E_8",EUconst_FurtherGuidancePoint1)))</f>
        <v/>
      </c>
      <c r="F227" s="1550"/>
      <c r="G227" s="1550"/>
      <c r="H227" s="1550"/>
      <c r="I227" s="1550"/>
      <c r="J227" s="1550"/>
      <c r="K227" s="1550"/>
      <c r="L227" s="1550"/>
      <c r="M227" s="1550"/>
      <c r="N227" s="143"/>
      <c r="O227" s="733"/>
      <c r="P227" s="33"/>
      <c r="Q227" s="352" t="str">
        <f>EUconst_SumNonSustBioCO2 &amp; "_" &amp; K224</f>
        <v>SUM_bioNonSustCO2_</v>
      </c>
      <c r="R227" s="707"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4"/>
      <c r="AK227" s="504"/>
      <c r="AL227" s="342"/>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hidden="1" customHeight="1">
      <c r="A228" s="808"/>
      <c r="B228" s="166"/>
      <c r="C228" s="166"/>
      <c r="D228" s="166"/>
      <c r="E228" s="166"/>
      <c r="F228" s="166"/>
      <c r="G228" s="166"/>
      <c r="M228" s="143"/>
      <c r="N228" s="143"/>
      <c r="O228" s="733"/>
      <c r="P228" s="23"/>
      <c r="Q228" s="23"/>
      <c r="R228" s="23"/>
      <c r="S228" s="23"/>
      <c r="T228" s="23"/>
      <c r="U228" s="23"/>
      <c r="V228" s="30"/>
      <c r="W228" s="30"/>
      <c r="X228" s="30"/>
      <c r="Y228" s="494"/>
      <c r="Z228" s="30"/>
      <c r="AA228" s="30"/>
      <c r="AB228" s="30"/>
      <c r="AC228" s="30"/>
      <c r="AD228" s="30"/>
      <c r="AE228" s="30"/>
      <c r="AF228" s="58"/>
      <c r="AG228" s="30"/>
      <c r="AH228" s="30"/>
      <c r="AI228" s="30"/>
      <c r="AJ228" s="504"/>
      <c r="AK228" s="504"/>
      <c r="AL228" s="342"/>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hidden="1" customHeight="1" thickBot="1">
      <c r="A229" s="808"/>
      <c r="B229" s="166"/>
      <c r="C229" s="814" t="s">
        <v>4</v>
      </c>
      <c r="D229" s="512" t="str">
        <f>Translations!$B$622</f>
        <v>VD:</v>
      </c>
      <c r="E229" s="1560" t="str">
        <f>Translations!$B$667</f>
        <v>Ar veiklos duomenys gaunami sudedant išmatuotus kiekius (t. y. ne atliekant nuolatinius matavimus)?</v>
      </c>
      <c r="F229" s="1560"/>
      <c r="G229" s="1560"/>
      <c r="H229" s="1560"/>
      <c r="I229" s="1560"/>
      <c r="J229" s="1560"/>
      <c r="K229" s="1560"/>
      <c r="L229" s="1179"/>
      <c r="M229" s="507"/>
      <c r="O229" s="733"/>
      <c r="P229" s="23"/>
      <c r="Q229" s="23"/>
      <c r="R229" s="23"/>
      <c r="S229" s="23"/>
      <c r="T229" s="23"/>
      <c r="U229" s="23"/>
      <c r="V229" s="30"/>
      <c r="W229" s="30"/>
      <c r="X229" s="30"/>
      <c r="Y229" s="494"/>
      <c r="Z229" s="30"/>
      <c r="AA229" s="30"/>
      <c r="AB229" s="30"/>
      <c r="AC229" s="1172" t="b">
        <f>AND(E224&lt;&gt;"",T225&lt;&gt;TRUE)</f>
        <v>0</v>
      </c>
      <c r="AD229" s="30"/>
      <c r="AE229" s="30"/>
      <c r="AF229" s="58"/>
      <c r="AG229" s="30"/>
      <c r="AH229" s="30"/>
      <c r="AI229" s="30"/>
      <c r="AJ229" s="504"/>
      <c r="AK229" s="504"/>
      <c r="AL229" s="342"/>
      <c r="AM229" s="30"/>
      <c r="AN229" s="30"/>
      <c r="AO229" s="30"/>
      <c r="AP229" s="30"/>
      <c r="AQ229" s="30"/>
      <c r="AR229" s="30"/>
      <c r="AS229" s="30"/>
      <c r="AT229" s="1172"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2" t="b">
        <f>OR(CNTR_CalcRelevant=EUconst_NotRelevant,AND(COUNTA(CNTR_ListRelevantSections)&gt;0,OR(T225=TRUE,E224="")))</f>
        <v>1</v>
      </c>
    </row>
    <row r="230" spans="1:78" s="142" customFormat="1" ht="5.0999999999999996" hidden="1" customHeight="1">
      <c r="A230" s="808"/>
      <c r="B230" s="166"/>
      <c r="C230" s="166"/>
      <c r="D230" s="166"/>
      <c r="E230" s="166"/>
      <c r="F230" s="166"/>
      <c r="G230" s="166"/>
      <c r="H230" s="495"/>
      <c r="I230" s="495"/>
      <c r="J230" s="495"/>
      <c r="K230" s="495"/>
      <c r="L230" s="495"/>
      <c r="M230" s="507"/>
      <c r="O230" s="733"/>
      <c r="P230" s="23"/>
      <c r="Q230" s="23"/>
      <c r="R230" s="23"/>
      <c r="S230" s="23"/>
      <c r="T230" s="23"/>
      <c r="U230" s="23"/>
      <c r="V230" s="30"/>
      <c r="W230" s="30"/>
      <c r="X230" s="30"/>
      <c r="Y230" s="494"/>
      <c r="Z230" s="30"/>
      <c r="AA230" s="30"/>
      <c r="AB230" s="30"/>
      <c r="AC230" s="492"/>
      <c r="AD230" s="30"/>
      <c r="AE230" s="30"/>
      <c r="AF230" s="58"/>
      <c r="AG230" s="30"/>
      <c r="AH230" s="30"/>
      <c r="AI230" s="30"/>
      <c r="AJ230" s="504"/>
      <c r="AK230" s="504"/>
      <c r="AL230" s="342"/>
      <c r="AM230" s="30"/>
      <c r="AN230" s="30"/>
      <c r="AO230" s="30"/>
      <c r="AP230" s="30"/>
      <c r="AQ230" s="30"/>
      <c r="AR230" s="30"/>
      <c r="AS230" s="30"/>
      <c r="AT230" s="492"/>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2"/>
    </row>
    <row r="231" spans="1:78" s="142" customFormat="1" ht="12.75" hidden="1" customHeight="1" thickBot="1">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3"/>
      <c r="Q231" s="23"/>
      <c r="R231" s="23"/>
      <c r="S231" s="23"/>
      <c r="T231" s="23"/>
      <c r="U231" s="23"/>
      <c r="V231" s="30"/>
      <c r="W231" s="30"/>
      <c r="X231" s="30"/>
      <c r="Y231" s="494"/>
      <c r="Z231" s="30"/>
      <c r="AA231" s="30"/>
      <c r="AB231" s="30"/>
      <c r="AC231" s="1172" t="b">
        <f>AC229</f>
        <v>0</v>
      </c>
      <c r="AD231" s="30"/>
      <c r="AE231" s="30"/>
      <c r="AF231" s="58"/>
      <c r="AG231" s="30"/>
      <c r="AH231" s="30"/>
      <c r="AI231" s="30"/>
      <c r="AJ231" s="504"/>
      <c r="AK231" s="504"/>
      <c r="AL231" s="342"/>
      <c r="AM231" s="30"/>
      <c r="AN231" s="30"/>
      <c r="AO231" s="30"/>
      <c r="AP231" s="30"/>
      <c r="AQ231" s="30"/>
      <c r="AR231" s="30"/>
      <c r="AS231" s="30"/>
      <c r="AT231" s="1172"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2" t="b">
        <f>OR(BZ229,AND(NOT(ISBLANK(L229)),L229=FALSE))</f>
        <v>1</v>
      </c>
    </row>
    <row r="232" spans="1:78" s="142" customFormat="1" ht="5.0999999999999996" hidden="1" customHeight="1">
      <c r="A232" s="808"/>
      <c r="B232" s="166"/>
      <c r="C232" s="166"/>
      <c r="D232" s="166"/>
      <c r="E232" s="166"/>
      <c r="F232" s="166"/>
      <c r="G232" s="166"/>
      <c r="M232" s="143"/>
      <c r="N232" s="143"/>
      <c r="O232" s="733"/>
      <c r="P232" s="23"/>
      <c r="Q232" s="23"/>
      <c r="R232" s="23"/>
      <c r="S232" s="23"/>
      <c r="T232" s="23"/>
      <c r="U232" s="23"/>
      <c r="V232" s="30"/>
      <c r="W232" s="30"/>
      <c r="X232" s="30"/>
      <c r="Y232" s="494"/>
      <c r="Z232" s="30"/>
      <c r="AA232" s="30"/>
      <c r="AB232" s="30"/>
      <c r="AC232" s="30"/>
      <c r="AD232" s="30"/>
      <c r="AE232" s="30"/>
      <c r="AF232" s="58"/>
      <c r="AG232" s="30"/>
      <c r="AH232" s="30"/>
      <c r="AI232" s="30"/>
      <c r="AJ232" s="504"/>
      <c r="AK232" s="504"/>
      <c r="AL232" s="342"/>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hidden="1" customHeight="1" thickBot="1">
      <c r="A233" s="808"/>
      <c r="B233" s="166"/>
      <c r="C233" s="166"/>
      <c r="D233" s="166"/>
      <c r="E233" s="166"/>
      <c r="F233" s="506" t="str">
        <f>Translations!$B$333</f>
        <v>Pakopa</v>
      </c>
      <c r="G233" s="1557" t="str">
        <f>Translations!$B$672</f>
        <v>pakopos aprašas</v>
      </c>
      <c r="H233" s="1557"/>
      <c r="I233" s="1555" t="str">
        <f>Translations!$B$158</f>
        <v>Vienetas</v>
      </c>
      <c r="J233" s="1555"/>
      <c r="K233" s="1555" t="str">
        <f>Translations!$B$673</f>
        <v>Vertė</v>
      </c>
      <c r="L233" s="1555"/>
      <c r="M233" s="507" t="str">
        <f>Translations!$B$610</f>
        <v>klaida</v>
      </c>
      <c r="O233" s="733"/>
      <c r="P233" s="508"/>
      <c r="Q233" s="352" t="str">
        <f>EUconst_SumEnergyIN &amp; "_" &amp; K224</f>
        <v>SUM_EnergyIN_</v>
      </c>
      <c r="R233" s="399" t="str">
        <f>IF(OR(K224="",T225)=TRUE,"",INDEX(BC239:BE239,MATCH(K224,BC234:BE234,0)))</f>
        <v/>
      </c>
      <c r="S233" s="30"/>
      <c r="T233" s="489"/>
      <c r="U233" s="30"/>
      <c r="V233" s="509" t="s">
        <v>303</v>
      </c>
      <c r="W233" s="30"/>
      <c r="X233" s="30"/>
      <c r="Y233" s="494" t="s">
        <v>566</v>
      </c>
      <c r="Z233" s="494" t="s">
        <v>318</v>
      </c>
      <c r="AA233" s="30"/>
      <c r="AB233" s="30"/>
      <c r="AC233" s="505" t="s">
        <v>309</v>
      </c>
      <c r="AD233" s="30"/>
      <c r="AE233" s="30"/>
      <c r="AF233" s="492" t="s">
        <v>305</v>
      </c>
      <c r="AG233" s="492" t="s">
        <v>306</v>
      </c>
      <c r="AH233" s="494" t="s">
        <v>304</v>
      </c>
      <c r="AI233" s="504" t="s">
        <v>307</v>
      </c>
      <c r="AJ233" s="504" t="s">
        <v>567</v>
      </c>
      <c r="AK233" s="510" t="s">
        <v>311</v>
      </c>
      <c r="AL233" s="342"/>
      <c r="AM233" s="30"/>
      <c r="AN233" s="492" t="s">
        <v>305</v>
      </c>
      <c r="AO233" s="492" t="s">
        <v>306</v>
      </c>
      <c r="AP233" s="511" t="s">
        <v>310</v>
      </c>
      <c r="AQ233" s="504" t="s">
        <v>569</v>
      </c>
      <c r="AR233" s="504" t="s">
        <v>568</v>
      </c>
      <c r="AS233" s="510" t="s">
        <v>311</v>
      </c>
      <c r="AT233" s="510" t="s">
        <v>311</v>
      </c>
      <c r="AU233" s="30"/>
      <c r="AV233" s="492"/>
      <c r="AW233" s="492"/>
      <c r="AX233" s="492" t="s">
        <v>321</v>
      </c>
      <c r="AY233" s="492"/>
      <c r="AZ233" s="492"/>
      <c r="BA233" s="492"/>
      <c r="BB233" s="492"/>
      <c r="BC233" s="492"/>
      <c r="BD233" s="492"/>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3" t="s">
        <v>262</v>
      </c>
    </row>
    <row r="234" spans="1:78" s="142" customFormat="1" ht="12.75" hidden="1" customHeight="1" thickBot="1">
      <c r="A234" s="808"/>
      <c r="B234" s="166"/>
      <c r="C234" s="777" t="s">
        <v>196</v>
      </c>
      <c r="D234" s="512" t="str">
        <f>Translations!$B$622</f>
        <v>VD:</v>
      </c>
      <c r="E234" s="513"/>
      <c r="F234" s="402"/>
      <c r="G234" s="1532" t="str">
        <f>IF(OR(ISBLANK(F234),F234=EUconst_NoTier),"",IF(Z234=0,EUconst_NA,IF(ISERROR(Z234),"",Z234)))</f>
        <v/>
      </c>
      <c r="H234" s="1533"/>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0"/>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0"/>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0"/>
      <c r="AV234" s="492" t="s">
        <v>314</v>
      </c>
      <c r="AW234" s="492" t="s">
        <v>319</v>
      </c>
      <c r="AX234" s="524"/>
      <c r="AY234" s="30" t="s">
        <v>542</v>
      </c>
      <c r="AZ234" s="30"/>
      <c r="BA234" s="30"/>
      <c r="BB234" s="504"/>
      <c r="BC234" s="493" t="str">
        <f>EUconst_Fuel</f>
        <v>Degimas</v>
      </c>
      <c r="BD234" s="493" t="str">
        <f>EUconst_ProcessCarbonate</f>
        <v>Proceso metu išsiskiriančios ŠESD</v>
      </c>
      <c r="BE234" s="493"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4" t="b">
        <f>BZ229</f>
        <v>1</v>
      </c>
    </row>
    <row r="235" spans="1:78" s="142" customFormat="1" ht="5.0999999999999996" hidden="1" customHeight="1">
      <c r="A235" s="808"/>
      <c r="B235" s="166"/>
      <c r="C235" s="814"/>
      <c r="D235" s="306"/>
      <c r="F235" s="143"/>
      <c r="G235" s="143"/>
      <c r="H235" s="143" t="s">
        <v>236</v>
      </c>
      <c r="I235" s="525"/>
      <c r="J235" s="525"/>
      <c r="K235" s="143"/>
      <c r="L235" s="143"/>
      <c r="M235" s="710"/>
      <c r="O235" s="733"/>
      <c r="P235" s="33"/>
      <c r="Q235" s="33"/>
      <c r="R235" s="33"/>
      <c r="S235" s="30"/>
      <c r="T235" s="155"/>
      <c r="U235" s="497"/>
      <c r="V235" s="30"/>
      <c r="W235" s="30"/>
      <c r="X235" s="497"/>
      <c r="Y235" s="526"/>
      <c r="Z235" s="30"/>
      <c r="AA235" s="30"/>
      <c r="AB235" s="30"/>
      <c r="AC235" s="30"/>
      <c r="AD235" s="30"/>
      <c r="AE235" s="30"/>
      <c r="AF235" s="30"/>
      <c r="AG235" s="30"/>
      <c r="AH235" s="30"/>
      <c r="AI235" s="30"/>
      <c r="AJ235" s="30"/>
      <c r="AK235" s="30"/>
      <c r="AL235" s="342"/>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3"/>
    </row>
    <row r="236" spans="1:78" s="142" customFormat="1" ht="12.75" hidden="1" customHeight="1" thickBot="1">
      <c r="A236" s="808"/>
      <c r="B236" s="166"/>
      <c r="C236" s="814" t="s">
        <v>197</v>
      </c>
      <c r="D236" s="512" t="str">
        <f>Translations!$B$634</f>
        <v>(prelim.) ITF:</v>
      </c>
      <c r="E236" s="513"/>
      <c r="F236" s="527"/>
      <c r="G236" s="1532" t="str">
        <f t="shared" ref="G236:G242" si="42">IF(OR(ISBLANK(F236),F236=EUconst_NoTier),"",IF(Z236=0,EUconst_NotApplicable,IF(ISERROR(Z236),"",Z236)))</f>
        <v/>
      </c>
      <c r="H236" s="1556"/>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3"/>
      <c r="Q236" s="33"/>
      <c r="R236" s="33"/>
      <c r="S236" s="30"/>
      <c r="T236" s="530" t="str">
        <f>EUconst_CNTR_EF&amp;E225</f>
        <v>EF_</v>
      </c>
      <c r="U236" s="497"/>
      <c r="V236" s="531" t="str">
        <f>V234</f>
        <v/>
      </c>
      <c r="W236" s="30"/>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0"/>
      <c r="AC236" s="535" t="b">
        <f>AND(AC234,Y236&lt;&gt;EUconst_NA)</f>
        <v>0</v>
      </c>
      <c r="AD236" s="30"/>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0"/>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0"/>
      <c r="BA236" s="30"/>
      <c r="BB236" s="547" t="s">
        <v>594</v>
      </c>
      <c r="BC236" s="546" t="str">
        <f>IF(K224=BC234,AR234*IF(AJ236=EUconst_tCO2pTJ,(AR237/1000),1)*AR236*AR238*AR242,"")</f>
        <v/>
      </c>
      <c r="BD236" s="524" t="str">
        <f>IF(K224=BD234,AR234*AR236*AR239*AR242,"")</f>
        <v/>
      </c>
      <c r="BE236" s="523"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1" t="b">
        <f>OR(BZ234,Y236=EUconst_NA)</f>
        <v>1</v>
      </c>
    </row>
    <row r="237" spans="1:78" s="142" customFormat="1" ht="12.75" hidden="1" customHeight="1" thickBot="1">
      <c r="A237" s="808"/>
      <c r="B237" s="166"/>
      <c r="C237" s="814" t="s">
        <v>198</v>
      </c>
      <c r="D237" s="512" t="str">
        <f>Translations!$B$636</f>
        <v>GŠV:</v>
      </c>
      <c r="E237" s="513"/>
      <c r="F237" s="548"/>
      <c r="G237" s="1532" t="str">
        <f t="shared" si="42"/>
        <v/>
      </c>
      <c r="H237" s="1533"/>
      <c r="I237" s="1169" t="str">
        <f>AJ237</f>
        <v/>
      </c>
      <c r="J237" s="549"/>
      <c r="K237" s="550" t="str">
        <f t="shared" si="43"/>
        <v/>
      </c>
      <c r="L237" s="551"/>
      <c r="M237" s="709" t="str">
        <f>IF(AND(E225&lt;&gt;"",OR(F237="",COUNT(K237:L237)=0),Y237&lt;&gt;EUconst_NA,T225&lt;&gt;TRUE),EUconst_ERR_Incomplete,IF(COUNTIF(AX237:AZ237,TRUE)&gt;0,EUconst_ERR_Inconsistent,""))</f>
        <v/>
      </c>
      <c r="O237" s="733"/>
      <c r="P237" s="33"/>
      <c r="Q237" s="33"/>
      <c r="R237" s="33"/>
      <c r="S237" s="30"/>
      <c r="T237" s="552" t="str">
        <f>EUconst_CNTR_NCV&amp;E225</f>
        <v>NCV_</v>
      </c>
      <c r="U237" s="497"/>
      <c r="V237" s="553" t="str">
        <f t="shared" ref="V237:V242" si="48">V236</f>
        <v/>
      </c>
      <c r="W237" s="30"/>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0"/>
      <c r="AC237" s="557" t="b">
        <f>AND(AC234,Y237&lt;&gt;EUconst_NA)</f>
        <v>0</v>
      </c>
      <c r="AD237" s="30"/>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0"/>
      <c r="AV237" s="567" t="b">
        <f t="shared" si="45"/>
        <v>0</v>
      </c>
      <c r="AW237" s="568" t="b">
        <f t="shared" si="46"/>
        <v>0</v>
      </c>
      <c r="AX237" s="30"/>
      <c r="AY237" s="553" t="b">
        <f t="shared" si="47"/>
        <v>0</v>
      </c>
      <c r="AZ237" s="30"/>
      <c r="BA237" s="30"/>
      <c r="BB237" s="547" t="s">
        <v>595</v>
      </c>
      <c r="BC237" s="546" t="str">
        <f>IF(K224=BC234,AR234*IF(AJ236=EUconst_tCO2pTJ,(AR237/1000),1)*AR236*AR238*AR241,"")</f>
        <v/>
      </c>
      <c r="BD237" s="524" t="str">
        <f>IF(K224=BD234,AR234*AR236*AR239*AR241,"")</f>
        <v/>
      </c>
      <c r="BE237" s="523"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3" t="b">
        <f>OR(BZ234,Y237=EUconst_NA)</f>
        <v>1</v>
      </c>
    </row>
    <row r="238" spans="1:78" s="142" customFormat="1" ht="12.75" hidden="1" customHeight="1" thickBot="1">
      <c r="A238" s="808"/>
      <c r="B238" s="166"/>
      <c r="C238" s="814" t="s">
        <v>199</v>
      </c>
      <c r="D238" s="512" t="str">
        <f>Translations!$B$638</f>
        <v>OksK:</v>
      </c>
      <c r="E238" s="513"/>
      <c r="F238" s="548"/>
      <c r="G238" s="1532" t="str">
        <f t="shared" si="42"/>
        <v/>
      </c>
      <c r="H238" s="1533"/>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3"/>
      <c r="Q238" s="33"/>
      <c r="R238" s="33"/>
      <c r="S238" s="30"/>
      <c r="T238" s="552" t="str">
        <f>EUconst_CNTR_OxidationFactor&amp;E225</f>
        <v>OxF_</v>
      </c>
      <c r="U238" s="497"/>
      <c r="V238" s="553" t="str">
        <f t="shared" si="48"/>
        <v/>
      </c>
      <c r="W238" s="30"/>
      <c r="X238" s="497"/>
      <c r="Y238" s="554" t="str">
        <f>IF(OR(T225=TRUE,E225=""),"",INDEX(EUwideConstants!$N:$N,MATCH(T238,EUwideConstants!$Q:$Q,0)))</f>
        <v/>
      </c>
      <c r="Z238" s="555" t="str">
        <f>IF(ISBLANK(F238),"",IF(F238=EUconst_NA,"",INDEX(EUwideConstants!$H:$M,MATCH(T238,EUwideConstants!$Q:$Q,0),MATCH(F238,CNTR_TierList,0))))</f>
        <v/>
      </c>
      <c r="AA238" s="534" t="str">
        <f>IF(F238=1,1,"")</f>
        <v/>
      </c>
      <c r="AB238" s="30"/>
      <c r="AC238" s="557" t="b">
        <f>AND(AC234,Y238&lt;&gt;EUconst_NA)</f>
        <v>0</v>
      </c>
      <c r="AD238" s="30"/>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0"/>
      <c r="AV238" s="567" t="b">
        <f t="shared" si="45"/>
        <v>0</v>
      </c>
      <c r="AW238" s="568" t="b">
        <f t="shared" si="46"/>
        <v>0</v>
      </c>
      <c r="AX238" s="30"/>
      <c r="AY238" s="594" t="b">
        <f t="shared" si="47"/>
        <v>0</v>
      </c>
      <c r="AZ238" s="531" t="b">
        <f>AR238&gt;100%</f>
        <v>0</v>
      </c>
      <c r="BA238" s="30"/>
      <c r="BB238" s="547" t="s">
        <v>290</v>
      </c>
      <c r="BC238" s="546" t="str">
        <f>IF(K224=BC234,AR234*IF(AJ236=EUconst_tCO2pTJ,(AR237/1000),1)*AR236*AR238*(1-AR241),"")</f>
        <v/>
      </c>
      <c r="BD238" s="524" t="str">
        <f>IF(K224=BD234,AR234*AR236*AR239*(1-AR241),"")</f>
        <v/>
      </c>
      <c r="BE238" s="523"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3" t="b">
        <f>OR(BZ234,Y238=EUconst_NA)</f>
        <v>1</v>
      </c>
    </row>
    <row r="239" spans="1:78" s="142" customFormat="1" ht="12.75" hidden="1" customHeight="1" thickBot="1">
      <c r="A239" s="808"/>
      <c r="B239" s="166"/>
      <c r="C239" s="814" t="s">
        <v>200</v>
      </c>
      <c r="D239" s="512" t="str">
        <f>Translations!$B$639</f>
        <v>KonvK:</v>
      </c>
      <c r="E239" s="513"/>
      <c r="F239" s="548"/>
      <c r="G239" s="1532" t="str">
        <f t="shared" si="42"/>
        <v/>
      </c>
      <c r="H239" s="1533"/>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3"/>
      <c r="Q239" s="33"/>
      <c r="R239" s="33"/>
      <c r="S239" s="30"/>
      <c r="T239" s="552" t="str">
        <f>EUconst_CNTR_ConversionFactor&amp;E225</f>
        <v>ConvF_</v>
      </c>
      <c r="U239" s="497"/>
      <c r="V239" s="553" t="str">
        <f t="shared" si="48"/>
        <v/>
      </c>
      <c r="W239" s="30"/>
      <c r="X239" s="497"/>
      <c r="Y239" s="554" t="str">
        <f>IF(OR(T225=TRUE,E225=""),"",INDEX(EUwideConstants!$N:$N,MATCH(T239,EUwideConstants!$Q:$Q,0)))</f>
        <v/>
      </c>
      <c r="Z239" s="555" t="str">
        <f>IF(ISBLANK(F239),"",IF(F239=EUconst_NA,"",INDEX(EUwideConstants!$H:$M,MATCH(T239,EUwideConstants!$Q:$Q,0),MATCH(F239,CNTR_TierList,0))))</f>
        <v/>
      </c>
      <c r="AA239" s="582" t="str">
        <f>IF(F239=1,1,"")</f>
        <v/>
      </c>
      <c r="AB239" s="30"/>
      <c r="AC239" s="557" t="b">
        <f>AND(AC234,Y239&lt;&gt;EUconst_NA)</f>
        <v>0</v>
      </c>
      <c r="AD239" s="30"/>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0"/>
      <c r="AV239" s="567" t="b">
        <f t="shared" si="45"/>
        <v>0</v>
      </c>
      <c r="AW239" s="568" t="b">
        <f t="shared" si="46"/>
        <v>0</v>
      </c>
      <c r="AX239" s="30"/>
      <c r="AY239" s="594" t="b">
        <f t="shared" si="47"/>
        <v>0</v>
      </c>
      <c r="AZ239" s="580" t="b">
        <f>AR239&gt;100%</f>
        <v>0</v>
      </c>
      <c r="BA239" s="30"/>
      <c r="BB239" s="578" t="s">
        <v>487</v>
      </c>
      <c r="BC239" s="579">
        <f>AR234*AR237/1000*(1-AR241)</f>
        <v>0</v>
      </c>
      <c r="BD239" s="580">
        <f>BC239</f>
        <v>0</v>
      </c>
      <c r="BE239" s="581">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3" t="b">
        <f>OR(BZ234,Y239=EUconst_NA)</f>
        <v>1</v>
      </c>
    </row>
    <row r="240" spans="1:78" s="142" customFormat="1" ht="12.75" hidden="1" customHeight="1" thickBot="1">
      <c r="A240" s="808"/>
      <c r="B240" s="166"/>
      <c r="C240" s="814" t="s">
        <v>329</v>
      </c>
      <c r="D240" s="512" t="str">
        <f>Translations!$B$640</f>
        <v>AnglK:</v>
      </c>
      <c r="E240" s="513"/>
      <c r="F240" s="548"/>
      <c r="G240" s="1532" t="str">
        <f t="shared" si="42"/>
        <v/>
      </c>
      <c r="H240" s="1533"/>
      <c r="I240" s="1170" t="str">
        <f>AJ240</f>
        <v/>
      </c>
      <c r="J240" s="586"/>
      <c r="K240" s="587" t="str">
        <f t="shared" si="43"/>
        <v/>
      </c>
      <c r="L240" s="588"/>
      <c r="M240" s="709" t="str">
        <f>IF(AND(E225&lt;&gt;"",OR(F240="",COUNT(K240:L240)=0),Y240&lt;&gt;EUconst_NA,T225&lt;&gt;TRUE),EUconst_ERR_Incomplete,IF(COUNTIF(AX240:AZ240,TRUE)&gt;0,EUconst_ERR_Inconsistent,""))</f>
        <v/>
      </c>
      <c r="O240" s="733"/>
      <c r="P240" s="33"/>
      <c r="Q240" s="33"/>
      <c r="R240" s="33"/>
      <c r="S240" s="30"/>
      <c r="T240" s="552" t="str">
        <f>EUconst_CNTR_CarbonContent&amp;E225</f>
        <v>CarbC_</v>
      </c>
      <c r="U240" s="497"/>
      <c r="V240" s="553" t="str">
        <f t="shared" si="48"/>
        <v/>
      </c>
      <c r="W240" s="30"/>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0"/>
      <c r="AC240" s="557" t="b">
        <f>AND(AC234,Y240&lt;&gt;EUconst_NA)</f>
        <v>0</v>
      </c>
      <c r="AD240" s="30"/>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0"/>
      <c r="AV240" s="567" t="b">
        <f t="shared" si="45"/>
        <v>0</v>
      </c>
      <c r="AW240" s="568" t="b">
        <f t="shared" si="46"/>
        <v>0</v>
      </c>
      <c r="AX240" s="546" t="b">
        <f>OR(AND(AJ234=EUconst_kNm3,AJ240=EUconst_tCpt),AND(AJ234=EUconst_t,AJ240=EUconst_tCpkNm3))</f>
        <v>0</v>
      </c>
      <c r="AY240" s="553" t="b">
        <f t="shared" si="47"/>
        <v>0</v>
      </c>
      <c r="AZ240" s="30"/>
      <c r="BA240" s="30"/>
      <c r="BB240" s="578" t="s">
        <v>488</v>
      </c>
      <c r="BC240" s="579">
        <f>AR234*AR237/1000*AR241</f>
        <v>0</v>
      </c>
      <c r="BD240" s="580">
        <f>BC240</f>
        <v>0</v>
      </c>
      <c r="BE240" s="581">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3" t="b">
        <f>OR(BZ234,Y240=EUconst_NA)</f>
        <v>1</v>
      </c>
    </row>
    <row r="241" spans="1:78" s="142" customFormat="1" ht="12.75" hidden="1" customHeight="1">
      <c r="A241" s="808"/>
      <c r="B241" s="166"/>
      <c r="C241" s="777" t="s">
        <v>330</v>
      </c>
      <c r="D241" s="512" t="str">
        <f>Translations!$B$641</f>
        <v>BioC:</v>
      </c>
      <c r="E241" s="513"/>
      <c r="F241" s="548"/>
      <c r="G241" s="1532" t="str">
        <f t="shared" si="42"/>
        <v/>
      </c>
      <c r="H241" s="1533"/>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0"/>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0"/>
      <c r="AC241" s="557" t="b">
        <f>AND(AC234,Y241&lt;&gt;EUconst_NA)</f>
        <v>0</v>
      </c>
      <c r="AD241" s="30"/>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0"/>
      <c r="AV241" s="567" t="b">
        <f t="shared" si="45"/>
        <v>0</v>
      </c>
      <c r="AW241" s="568" t="b">
        <f t="shared" si="46"/>
        <v>0</v>
      </c>
      <c r="AX241" s="30"/>
      <c r="AY241" s="594" t="b">
        <f t="shared" si="47"/>
        <v>0</v>
      </c>
      <c r="AZ241" s="531"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3" t="b">
        <f>OR(BZ234,Y241=EUconst_NA)</f>
        <v>1</v>
      </c>
    </row>
    <row r="242" spans="1:78" s="142" customFormat="1" ht="12.75" hidden="1" customHeight="1" thickBot="1">
      <c r="A242" s="808"/>
      <c r="B242" s="166"/>
      <c r="C242" s="777" t="s">
        <v>454</v>
      </c>
      <c r="D242" s="512" t="str">
        <f>Translations!$B$647</f>
        <v>Netvar. BioC:</v>
      </c>
      <c r="E242" s="513"/>
      <c r="F242" s="597"/>
      <c r="G242" s="1532" t="str">
        <f t="shared" si="42"/>
        <v/>
      </c>
      <c r="H242" s="1533"/>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0"/>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0"/>
      <c r="AC242" s="603" t="b">
        <f>AND(AC234,Y242&lt;&gt;EUconst_NA)</f>
        <v>0</v>
      </c>
      <c r="AD242" s="30"/>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0"/>
      <c r="AV242" s="613" t="b">
        <f t="shared" si="45"/>
        <v>0</v>
      </c>
      <c r="AW242" s="614" t="b">
        <f t="shared" si="46"/>
        <v>0</v>
      </c>
      <c r="AX242" s="30"/>
      <c r="AY242" s="579" t="b">
        <f t="shared" si="47"/>
        <v>0</v>
      </c>
      <c r="AZ242" s="580"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80" t="b">
        <f>OR(BZ234,Y242=EUconst_NA)</f>
        <v>1</v>
      </c>
    </row>
    <row r="243" spans="1:78" s="142" customFormat="1" ht="5.0999999999999996" hidden="1" customHeight="1">
      <c r="A243" s="808"/>
      <c r="B243" s="166"/>
      <c r="C243" s="166"/>
      <c r="D243" s="180"/>
      <c r="O243" s="733"/>
      <c r="P243" s="33"/>
      <c r="Q243" s="33"/>
      <c r="R243" s="33"/>
      <c r="S243" s="174"/>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hidden="1" customHeight="1">
      <c r="A244" s="808"/>
      <c r="B244" s="166"/>
      <c r="C244" s="166"/>
      <c r="D244" s="1558" t="str">
        <f>Translations!$B$674</f>
        <v>Pakopos galioja nuo:</v>
      </c>
      <c r="E244" s="1558"/>
      <c r="F244" s="1559"/>
      <c r="G244" s="1052"/>
      <c r="H244" s="615" t="str">
        <f>Translations!$B$675</f>
        <v>iki:</v>
      </c>
      <c r="I244" s="1052"/>
      <c r="J244" s="1536" t="str">
        <f>Translations!$B$676</f>
        <v>Atliekų katalogo numeris (jeigu taikytina):</v>
      </c>
      <c r="K244" s="1537"/>
      <c r="L244" s="1537"/>
      <c r="M244" s="1538"/>
      <c r="N244" s="1289"/>
      <c r="O244" s="733"/>
      <c r="P244" s="33"/>
      <c r="Q244" s="33"/>
      <c r="R244" s="33"/>
      <c r="S244" s="1290"/>
      <c r="T244" s="492"/>
      <c r="U244" s="492"/>
      <c r="V244" s="48" t="b">
        <f>IF(V234="",FALSE,INDEX(CNTR_IsWaste,MATCH(V234,MSParameters!$A$218:$A$376,0)))</f>
        <v>0</v>
      </c>
      <c r="W244" s="1290"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hidden="1" customHeight="1">
      <c r="A245" s="808"/>
      <c r="B245" s="166"/>
      <c r="C245" s="166"/>
      <c r="D245" s="615"/>
      <c r="E245" s="495"/>
      <c r="F245" s="495"/>
      <c r="G245" s="495"/>
      <c r="H245" s="495"/>
      <c r="I245" s="495"/>
      <c r="J245" s="495"/>
      <c r="K245" s="495"/>
      <c r="L245" s="495"/>
      <c r="M245" s="495"/>
      <c r="N245" s="495"/>
      <c r="O245" s="733"/>
      <c r="P245" s="33"/>
      <c r="Q245" s="33"/>
      <c r="R245" s="33"/>
      <c r="S245" s="174"/>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hidden="1" customHeight="1">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3"/>
      <c r="Q246" s="33"/>
      <c r="R246" s="33"/>
      <c r="S246" s="174"/>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hidden="1" customHeight="1">
      <c r="A247" s="815"/>
      <c r="D247" s="180"/>
      <c r="O247" s="573"/>
      <c r="P247" s="497"/>
      <c r="Q247" s="497"/>
      <c r="R247" s="497"/>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hidden="1">
      <c r="A248" s="815"/>
      <c r="D248" s="1534" t="str">
        <f>Translations!$B$160</f>
        <v>Pastabos:</v>
      </c>
      <c r="E248" s="1535"/>
      <c r="F248" s="1539"/>
      <c r="G248" s="1540"/>
      <c r="H248" s="1540"/>
      <c r="I248" s="1540"/>
      <c r="J248" s="1540"/>
      <c r="K248" s="1540"/>
      <c r="L248" s="1540"/>
      <c r="M248" s="1540"/>
      <c r="N248" s="1541"/>
      <c r="O248" s="573"/>
      <c r="P248" s="497"/>
      <c r="Q248" s="497"/>
      <c r="R248" s="497"/>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hidden="1" customHeight="1" thickBot="1">
      <c r="A249" s="808"/>
      <c r="B249" s="495"/>
      <c r="C249" s="499"/>
      <c r="D249" s="500"/>
      <c r="E249" s="501"/>
      <c r="F249" s="499"/>
      <c r="G249" s="502"/>
      <c r="H249" s="502"/>
      <c r="I249" s="502"/>
      <c r="J249" s="502"/>
      <c r="K249" s="502"/>
      <c r="L249" s="502"/>
      <c r="M249" s="502"/>
      <c r="N249" s="502"/>
      <c r="O249" s="740"/>
      <c r="P249" s="494"/>
      <c r="Q249" s="494"/>
      <c r="R249" s="494"/>
      <c r="S249" s="58"/>
      <c r="T249" s="58"/>
      <c r="U249" s="498"/>
      <c r="V249" s="58"/>
      <c r="W249" s="58"/>
      <c r="X249" s="49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c r="A250" s="813"/>
      <c r="B250" s="495"/>
      <c r="C250" s="495"/>
      <c r="D250" s="180"/>
      <c r="E250" s="496"/>
      <c r="F250" s="495"/>
      <c r="G250" s="487"/>
      <c r="H250" s="487"/>
      <c r="I250" s="487"/>
      <c r="J250" s="487"/>
      <c r="K250" s="495"/>
      <c r="L250" s="487"/>
      <c r="M250" s="487"/>
      <c r="N250" s="487"/>
      <c r="O250" s="740"/>
      <c r="P250" s="494"/>
      <c r="Q250" s="494"/>
      <c r="R250" s="494"/>
      <c r="S250" s="23"/>
      <c r="T250" s="27" t="str">
        <f>IF(ISBLANK(E251),"",MATCH(E251,CNTR_SourceStreamNames,0))</f>
        <v/>
      </c>
      <c r="U250" s="618"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1"/>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3" t="s">
        <v>262</v>
      </c>
    </row>
    <row r="251" spans="1:78" s="142" customFormat="1" ht="15" hidden="1" customHeight="1" thickBot="1">
      <c r="A251" s="869" t="str">
        <f>IF(E251="","","PRINT")</f>
        <v/>
      </c>
      <c r="B251" s="166"/>
      <c r="C251" s="617">
        <f>C224+1</f>
        <v>8</v>
      </c>
      <c r="D251" s="166"/>
      <c r="E251" s="1542"/>
      <c r="F251" s="1543"/>
      <c r="G251" s="1543"/>
      <c r="H251" s="1543"/>
      <c r="I251" s="1543"/>
      <c r="J251" s="1544"/>
      <c r="K251" s="1545" t="str">
        <f>IF(E252="","",INDEX(EUwideConstants!$F$353:$F$394,MATCH(E252,EUConst_TierActivityListNames,0)))</f>
        <v/>
      </c>
      <c r="L251" s="1546"/>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3"/>
      <c r="T251" s="509" t="s">
        <v>393</v>
      </c>
      <c r="U251" s="23"/>
      <c r="V251" s="78"/>
      <c r="W251" s="56"/>
      <c r="X251" s="58"/>
      <c r="Y251" s="58"/>
      <c r="Z251" s="58"/>
      <c r="AA251" s="58"/>
      <c r="AB251" s="58"/>
      <c r="AC251" s="58"/>
      <c r="AD251" s="58"/>
      <c r="AE251" s="58"/>
      <c r="AF251" s="58"/>
      <c r="AG251" s="58"/>
      <c r="AH251" s="58"/>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6"/>
      <c r="BZ251" s="619" t="b">
        <f>CNTR_CalcRelevant=EUconst_NotRelevant</f>
        <v>0</v>
      </c>
    </row>
    <row r="252" spans="1:78" s="142" customFormat="1" ht="15" hidden="1" customHeight="1" thickBot="1">
      <c r="A252" s="808"/>
      <c r="B252" s="166"/>
      <c r="C252" s="166"/>
      <c r="D252" s="166"/>
      <c r="E252" s="1547" t="str">
        <f>IF(ISBLANK(E251),"",IF(INDEX(B_InstallationDescription!$E$71:$E$145,MATCH(U250,B_InstallationDescription!$D$71:$D$145,0))&gt;0,INDEX(B_InstallationDescription!$E$71:$E$145,MATCH(U250,B_InstallationDescription!$D$71:$D$145,0)),""))</f>
        <v/>
      </c>
      <c r="F252" s="1548"/>
      <c r="G252" s="1548"/>
      <c r="H252" s="1548"/>
      <c r="I252" s="1548"/>
      <c r="J252" s="1549"/>
      <c r="M252" s="346" t="str">
        <f>Translations!$B$666</f>
        <v>CO2, biomasės kilmės.:</v>
      </c>
      <c r="N252" s="1051" t="str">
        <f>IF(OR(K251="",T252=TRUE),"",INDEX(BC264:BE264,MATCH(K251,BC261:BE261,0)))</f>
        <v/>
      </c>
      <c r="O252" s="742" t="s">
        <v>260</v>
      </c>
      <c r="P252" s="494"/>
      <c r="Q252" s="352" t="str">
        <f>EUconst_SumBioCO2 &amp; "_" &amp; K251</f>
        <v>SUM_bioCO2_</v>
      </c>
      <c r="R252" s="494"/>
      <c r="S252" s="23"/>
      <c r="T252" s="48" t="str">
        <f>IF(E252="","",MATCH(E252,EUConst_TierActivityListNames,0)&gt;40)</f>
        <v/>
      </c>
      <c r="U252" s="23"/>
      <c r="V252" s="78"/>
      <c r="W252" s="56"/>
      <c r="X252" s="58"/>
      <c r="Y252" s="27" t="s">
        <v>93</v>
      </c>
      <c r="Z252" s="30"/>
      <c r="AA252" s="30"/>
      <c r="AB252" s="30"/>
      <c r="AC252" s="30"/>
      <c r="AD252" s="30"/>
      <c r="AE252" s="27" t="s">
        <v>302</v>
      </c>
      <c r="AF252" s="58"/>
      <c r="AG252" s="504"/>
      <c r="AH252" s="30"/>
      <c r="AI252" s="30"/>
      <c r="AJ252" s="504"/>
      <c r="AK252" s="504"/>
      <c r="AL252" s="342"/>
      <c r="AM252" s="27" t="s">
        <v>308</v>
      </c>
      <c r="AN252" s="505"/>
      <c r="AO252" s="505"/>
      <c r="AP252" s="30"/>
      <c r="AQ252" s="30"/>
      <c r="AR252" s="30"/>
      <c r="AS252" s="30"/>
      <c r="AT252" s="30"/>
      <c r="AU252" s="30"/>
      <c r="AV252" s="27" t="s">
        <v>315</v>
      </c>
      <c r="AW252" s="30"/>
      <c r="AX252" s="492"/>
      <c r="AY252" s="30"/>
      <c r="AZ252" s="30"/>
      <c r="BA252" s="30"/>
      <c r="BB252" s="27" t="s">
        <v>219</v>
      </c>
      <c r="BC252" s="30"/>
      <c r="BD252" s="30"/>
      <c r="BE252" s="30"/>
      <c r="BF252" s="30"/>
      <c r="BG252" s="27"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0"/>
      <c r="BZ252" s="30"/>
    </row>
    <row r="253" spans="1:78" s="142" customFormat="1" ht="4.5" hidden="1" customHeight="1">
      <c r="A253" s="808"/>
      <c r="B253" s="166"/>
      <c r="C253" s="166"/>
      <c r="D253" s="166"/>
      <c r="E253" s="166"/>
      <c r="F253" s="166"/>
      <c r="G253" s="166"/>
      <c r="M253" s="143"/>
      <c r="N253" s="143"/>
      <c r="O253" s="733"/>
      <c r="P253" s="33"/>
      <c r="Q253" s="33"/>
      <c r="R253" s="33"/>
      <c r="S253" s="23"/>
      <c r="T253" s="23"/>
      <c r="U253" s="23"/>
      <c r="V253" s="78"/>
      <c r="W253" s="30"/>
      <c r="X253" s="30"/>
      <c r="Y253" s="494"/>
      <c r="Z253" s="30"/>
      <c r="AA253" s="30"/>
      <c r="AB253" s="30"/>
      <c r="AC253" s="30"/>
      <c r="AD253" s="30"/>
      <c r="AE253" s="30"/>
      <c r="AF253" s="58"/>
      <c r="AG253" s="30"/>
      <c r="AH253" s="30"/>
      <c r="AI253" s="30"/>
      <c r="AJ253" s="504"/>
      <c r="AK253" s="504"/>
      <c r="AL253" s="342"/>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hidden="1" customHeight="1" thickBot="1">
      <c r="A254" s="808"/>
      <c r="B254" s="166"/>
      <c r="C254" s="166"/>
      <c r="D254" s="166"/>
      <c r="E254" s="1550" t="str">
        <f>IF(E251="","",IF(T252=TRUE,HYPERLINK("#JUMP_14",EUconst_MsgGoOnPFC),HYPERLINK("#JUMP_E_8",EUconst_FurtherGuidancePoint1)))</f>
        <v/>
      </c>
      <c r="F254" s="1550"/>
      <c r="G254" s="1550"/>
      <c r="H254" s="1550"/>
      <c r="I254" s="1550"/>
      <c r="J254" s="1550"/>
      <c r="K254" s="1550"/>
      <c r="L254" s="1550"/>
      <c r="M254" s="1550"/>
      <c r="N254" s="143"/>
      <c r="O254" s="733"/>
      <c r="P254" s="33"/>
      <c r="Q254" s="352" t="str">
        <f>EUconst_SumNonSustBioCO2 &amp; "_" &amp; K251</f>
        <v>SUM_bioNonSustCO2_</v>
      </c>
      <c r="R254" s="707"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4"/>
      <c r="AK254" s="504"/>
      <c r="AL254" s="342"/>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hidden="1" customHeight="1">
      <c r="A255" s="808"/>
      <c r="B255" s="166"/>
      <c r="C255" s="166"/>
      <c r="D255" s="166"/>
      <c r="E255" s="166"/>
      <c r="F255" s="166"/>
      <c r="G255" s="166"/>
      <c r="M255" s="143"/>
      <c r="N255" s="143"/>
      <c r="O255" s="733"/>
      <c r="P255" s="23"/>
      <c r="Q255" s="23"/>
      <c r="R255" s="23"/>
      <c r="S255" s="23"/>
      <c r="T255" s="23"/>
      <c r="U255" s="23"/>
      <c r="V255" s="30"/>
      <c r="W255" s="30"/>
      <c r="X255" s="30"/>
      <c r="Y255" s="494"/>
      <c r="Z255" s="30"/>
      <c r="AA255" s="30"/>
      <c r="AB255" s="30"/>
      <c r="AC255" s="30"/>
      <c r="AD255" s="30"/>
      <c r="AE255" s="30"/>
      <c r="AF255" s="58"/>
      <c r="AG255" s="30"/>
      <c r="AH255" s="30"/>
      <c r="AI255" s="30"/>
      <c r="AJ255" s="504"/>
      <c r="AK255" s="504"/>
      <c r="AL255" s="342"/>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hidden="1" customHeight="1" thickBot="1">
      <c r="A256" s="808"/>
      <c r="B256" s="166"/>
      <c r="C256" s="814" t="s">
        <v>4</v>
      </c>
      <c r="D256" s="512" t="str">
        <f>Translations!$B$622</f>
        <v>VD:</v>
      </c>
      <c r="E256" s="1560" t="str">
        <f>Translations!$B$667</f>
        <v>Ar veiklos duomenys gaunami sudedant išmatuotus kiekius (t. y. ne atliekant nuolatinius matavimus)?</v>
      </c>
      <c r="F256" s="1560"/>
      <c r="G256" s="1560"/>
      <c r="H256" s="1560"/>
      <c r="I256" s="1560"/>
      <c r="J256" s="1560"/>
      <c r="K256" s="1560"/>
      <c r="L256" s="1179"/>
      <c r="M256" s="507"/>
      <c r="O256" s="733"/>
      <c r="P256" s="23"/>
      <c r="Q256" s="23"/>
      <c r="R256" s="23"/>
      <c r="S256" s="23"/>
      <c r="T256" s="23"/>
      <c r="U256" s="23"/>
      <c r="V256" s="30"/>
      <c r="W256" s="30"/>
      <c r="X256" s="30"/>
      <c r="Y256" s="494"/>
      <c r="Z256" s="30"/>
      <c r="AA256" s="30"/>
      <c r="AB256" s="30"/>
      <c r="AC256" s="1172" t="b">
        <f>AND(E251&lt;&gt;"",T252&lt;&gt;TRUE)</f>
        <v>0</v>
      </c>
      <c r="AD256" s="30"/>
      <c r="AE256" s="30"/>
      <c r="AF256" s="58"/>
      <c r="AG256" s="30"/>
      <c r="AH256" s="30"/>
      <c r="AI256" s="30"/>
      <c r="AJ256" s="504"/>
      <c r="AK256" s="504"/>
      <c r="AL256" s="342"/>
      <c r="AM256" s="30"/>
      <c r="AN256" s="30"/>
      <c r="AO256" s="30"/>
      <c r="AP256" s="30"/>
      <c r="AQ256" s="30"/>
      <c r="AR256" s="30"/>
      <c r="AS256" s="30"/>
      <c r="AT256" s="1172"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2" t="b">
        <f>OR(CNTR_CalcRelevant=EUconst_NotRelevant,AND(COUNTA(CNTR_ListRelevantSections)&gt;0,OR(T252=TRUE,E251="")))</f>
        <v>1</v>
      </c>
    </row>
    <row r="257" spans="1:78" s="142" customFormat="1" ht="5.0999999999999996" hidden="1" customHeight="1">
      <c r="A257" s="808"/>
      <c r="B257" s="166"/>
      <c r="C257" s="166"/>
      <c r="D257" s="166"/>
      <c r="E257" s="166"/>
      <c r="F257" s="166"/>
      <c r="G257" s="166"/>
      <c r="H257" s="495"/>
      <c r="I257" s="495"/>
      <c r="J257" s="495"/>
      <c r="K257" s="495"/>
      <c r="L257" s="495"/>
      <c r="M257" s="507"/>
      <c r="O257" s="733"/>
      <c r="P257" s="23"/>
      <c r="Q257" s="23"/>
      <c r="R257" s="23"/>
      <c r="S257" s="23"/>
      <c r="T257" s="23"/>
      <c r="U257" s="23"/>
      <c r="V257" s="30"/>
      <c r="W257" s="30"/>
      <c r="X257" s="30"/>
      <c r="Y257" s="494"/>
      <c r="Z257" s="30"/>
      <c r="AA257" s="30"/>
      <c r="AB257" s="30"/>
      <c r="AC257" s="492"/>
      <c r="AD257" s="30"/>
      <c r="AE257" s="30"/>
      <c r="AF257" s="58"/>
      <c r="AG257" s="30"/>
      <c r="AH257" s="30"/>
      <c r="AI257" s="30"/>
      <c r="AJ257" s="504"/>
      <c r="AK257" s="504"/>
      <c r="AL257" s="342"/>
      <c r="AM257" s="30"/>
      <c r="AN257" s="30"/>
      <c r="AO257" s="30"/>
      <c r="AP257" s="30"/>
      <c r="AQ257" s="30"/>
      <c r="AR257" s="30"/>
      <c r="AS257" s="30"/>
      <c r="AT257" s="492"/>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2"/>
    </row>
    <row r="258" spans="1:78" s="142" customFormat="1" ht="12.75" hidden="1" customHeight="1" thickBot="1">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3"/>
      <c r="Q258" s="23"/>
      <c r="R258" s="23"/>
      <c r="S258" s="23"/>
      <c r="T258" s="23"/>
      <c r="U258" s="23"/>
      <c r="V258" s="30"/>
      <c r="W258" s="30"/>
      <c r="X258" s="30"/>
      <c r="Y258" s="494"/>
      <c r="Z258" s="30"/>
      <c r="AA258" s="30"/>
      <c r="AB258" s="30"/>
      <c r="AC258" s="1172" t="b">
        <f>AC256</f>
        <v>0</v>
      </c>
      <c r="AD258" s="30"/>
      <c r="AE258" s="30"/>
      <c r="AF258" s="58"/>
      <c r="AG258" s="30"/>
      <c r="AH258" s="30"/>
      <c r="AI258" s="30"/>
      <c r="AJ258" s="504"/>
      <c r="AK258" s="504"/>
      <c r="AL258" s="342"/>
      <c r="AM258" s="30"/>
      <c r="AN258" s="30"/>
      <c r="AO258" s="30"/>
      <c r="AP258" s="30"/>
      <c r="AQ258" s="30"/>
      <c r="AR258" s="30"/>
      <c r="AS258" s="30"/>
      <c r="AT258" s="1172"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2" t="b">
        <f>OR(BZ256,AND(NOT(ISBLANK(L256)),L256=FALSE))</f>
        <v>1</v>
      </c>
    </row>
    <row r="259" spans="1:78" s="142" customFormat="1" ht="4.5" hidden="1" customHeight="1">
      <c r="A259" s="808"/>
      <c r="B259" s="166"/>
      <c r="C259" s="166"/>
      <c r="D259" s="166"/>
      <c r="E259" s="166"/>
      <c r="F259" s="166"/>
      <c r="G259" s="166"/>
      <c r="M259" s="143"/>
      <c r="N259" s="143"/>
      <c r="O259" s="733"/>
      <c r="P259" s="23"/>
      <c r="Q259" s="23"/>
      <c r="R259" s="23"/>
      <c r="S259" s="23"/>
      <c r="T259" s="23"/>
      <c r="U259" s="23"/>
      <c r="V259" s="30"/>
      <c r="W259" s="30"/>
      <c r="X259" s="30"/>
      <c r="Y259" s="494"/>
      <c r="Z259" s="30"/>
      <c r="AA259" s="30"/>
      <c r="AB259" s="30"/>
      <c r="AC259" s="30"/>
      <c r="AD259" s="30"/>
      <c r="AE259" s="30"/>
      <c r="AF259" s="58"/>
      <c r="AG259" s="30"/>
      <c r="AH259" s="30"/>
      <c r="AI259" s="30"/>
      <c r="AJ259" s="504"/>
      <c r="AK259" s="504"/>
      <c r="AL259" s="342"/>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hidden="1" customHeight="1" thickBot="1">
      <c r="A260" s="808"/>
      <c r="B260" s="166"/>
      <c r="C260" s="166"/>
      <c r="D260" s="166"/>
      <c r="E260" s="166"/>
      <c r="F260" s="506" t="str">
        <f>Translations!$B$333</f>
        <v>Pakopa</v>
      </c>
      <c r="G260" s="1557" t="str">
        <f>Translations!$B$672</f>
        <v>pakopos aprašas</v>
      </c>
      <c r="H260" s="1557"/>
      <c r="I260" s="1555" t="str">
        <f>Translations!$B$158</f>
        <v>Vienetas</v>
      </c>
      <c r="J260" s="1555"/>
      <c r="K260" s="1555" t="str">
        <f>Translations!$B$673</f>
        <v>Vertė</v>
      </c>
      <c r="L260" s="1555"/>
      <c r="M260" s="507" t="str">
        <f>Translations!$B$610</f>
        <v>klaida</v>
      </c>
      <c r="O260" s="733"/>
      <c r="P260" s="508"/>
      <c r="Q260" s="352" t="str">
        <f>EUconst_SumEnergyIN &amp; "_" &amp; K251</f>
        <v>SUM_EnergyIN_</v>
      </c>
      <c r="R260" s="399" t="str">
        <f>IF(OR(K251="",T252)=TRUE,"",INDEX(BC266:BE266,MATCH(K251,BC261:BE261,0)))</f>
        <v/>
      </c>
      <c r="S260" s="30"/>
      <c r="T260" s="489"/>
      <c r="U260" s="30"/>
      <c r="V260" s="509" t="s">
        <v>303</v>
      </c>
      <c r="W260" s="30"/>
      <c r="X260" s="30"/>
      <c r="Y260" s="494" t="s">
        <v>566</v>
      </c>
      <c r="Z260" s="494" t="s">
        <v>318</v>
      </c>
      <c r="AA260" s="30"/>
      <c r="AB260" s="30"/>
      <c r="AC260" s="505" t="s">
        <v>309</v>
      </c>
      <c r="AD260" s="30"/>
      <c r="AE260" s="30"/>
      <c r="AF260" s="492" t="s">
        <v>305</v>
      </c>
      <c r="AG260" s="492" t="s">
        <v>306</v>
      </c>
      <c r="AH260" s="494" t="s">
        <v>304</v>
      </c>
      <c r="AI260" s="504" t="s">
        <v>307</v>
      </c>
      <c r="AJ260" s="504" t="s">
        <v>567</v>
      </c>
      <c r="AK260" s="510" t="s">
        <v>311</v>
      </c>
      <c r="AL260" s="342"/>
      <c r="AM260" s="30"/>
      <c r="AN260" s="492" t="s">
        <v>305</v>
      </c>
      <c r="AO260" s="492" t="s">
        <v>306</v>
      </c>
      <c r="AP260" s="511" t="s">
        <v>310</v>
      </c>
      <c r="AQ260" s="504" t="s">
        <v>569</v>
      </c>
      <c r="AR260" s="504" t="s">
        <v>568</v>
      </c>
      <c r="AS260" s="510" t="s">
        <v>311</v>
      </c>
      <c r="AT260" s="510" t="s">
        <v>311</v>
      </c>
      <c r="AU260" s="30"/>
      <c r="AV260" s="492"/>
      <c r="AW260" s="492"/>
      <c r="AX260" s="492" t="s">
        <v>321</v>
      </c>
      <c r="AY260" s="492"/>
      <c r="AZ260" s="492"/>
      <c r="BA260" s="492"/>
      <c r="BB260" s="492"/>
      <c r="BC260" s="492"/>
      <c r="BD260" s="492"/>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3" t="s">
        <v>262</v>
      </c>
    </row>
    <row r="261" spans="1:78" s="142" customFormat="1" ht="12.75" hidden="1" customHeight="1" thickBot="1">
      <c r="A261" s="808"/>
      <c r="B261" s="166"/>
      <c r="C261" s="777" t="s">
        <v>196</v>
      </c>
      <c r="D261" s="512" t="str">
        <f>Translations!$B$622</f>
        <v>VD:</v>
      </c>
      <c r="E261" s="513"/>
      <c r="F261" s="402"/>
      <c r="G261" s="1532" t="str">
        <f>IF(OR(ISBLANK(F261),F261=EUconst_NoTier),"",IF(Z261=0,EUconst_NA,IF(ISERROR(Z261),"",Z261)))</f>
        <v/>
      </c>
      <c r="H261" s="1533"/>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0"/>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0"/>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0"/>
      <c r="AV261" s="492" t="s">
        <v>314</v>
      </c>
      <c r="AW261" s="492" t="s">
        <v>319</v>
      </c>
      <c r="AX261" s="524"/>
      <c r="AY261" s="30" t="s">
        <v>542</v>
      </c>
      <c r="AZ261" s="30"/>
      <c r="BA261" s="30"/>
      <c r="BB261" s="504"/>
      <c r="BC261" s="493" t="str">
        <f>EUconst_Fuel</f>
        <v>Degimas</v>
      </c>
      <c r="BD261" s="493" t="str">
        <f>EUconst_ProcessCarbonate</f>
        <v>Proceso metu išsiskiriančios ŠESD</v>
      </c>
      <c r="BE261" s="493"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4" t="b">
        <f>BZ256</f>
        <v>1</v>
      </c>
    </row>
    <row r="262" spans="1:78" s="142" customFormat="1" ht="2.25" hidden="1" customHeight="1">
      <c r="A262" s="808"/>
      <c r="B262" s="166"/>
      <c r="C262" s="814"/>
      <c r="D262" s="306"/>
      <c r="F262" s="143"/>
      <c r="G262" s="143"/>
      <c r="H262" s="143" t="s">
        <v>236</v>
      </c>
      <c r="I262" s="525"/>
      <c r="J262" s="525"/>
      <c r="K262" s="143"/>
      <c r="L262" s="143"/>
      <c r="M262" s="710"/>
      <c r="O262" s="733"/>
      <c r="P262" s="33"/>
      <c r="Q262" s="33"/>
      <c r="R262" s="33"/>
      <c r="S262" s="30"/>
      <c r="T262" s="155"/>
      <c r="U262" s="497"/>
      <c r="V262" s="30"/>
      <c r="W262" s="30"/>
      <c r="X262" s="497"/>
      <c r="Y262" s="526"/>
      <c r="Z262" s="30"/>
      <c r="AA262" s="30"/>
      <c r="AB262" s="30"/>
      <c r="AC262" s="30"/>
      <c r="AD262" s="30"/>
      <c r="AE262" s="30"/>
      <c r="AF262" s="30"/>
      <c r="AG262" s="30"/>
      <c r="AH262" s="30"/>
      <c r="AI262" s="30"/>
      <c r="AJ262" s="30"/>
      <c r="AK262" s="30"/>
      <c r="AL262" s="342"/>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3"/>
    </row>
    <row r="263" spans="1:78" s="142" customFormat="1" ht="12.75" hidden="1" customHeight="1" thickBot="1">
      <c r="A263" s="808"/>
      <c r="B263" s="166"/>
      <c r="C263" s="814" t="s">
        <v>197</v>
      </c>
      <c r="D263" s="512" t="str">
        <f>Translations!$B$634</f>
        <v>(prelim.) ITF:</v>
      </c>
      <c r="E263" s="513"/>
      <c r="F263" s="527"/>
      <c r="G263" s="1532" t="str">
        <f t="shared" ref="G263:G269" si="49">IF(OR(ISBLANK(F263),F263=EUconst_NoTier),"",IF(Z263=0,EUconst_NotApplicable,IF(ISERROR(Z263),"",Z263)))</f>
        <v/>
      </c>
      <c r="H263" s="1556"/>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3"/>
      <c r="Q263" s="33"/>
      <c r="R263" s="33"/>
      <c r="S263" s="30"/>
      <c r="T263" s="530" t="str">
        <f>EUconst_CNTR_EF&amp;E252</f>
        <v>EF_</v>
      </c>
      <c r="U263" s="497"/>
      <c r="V263" s="531" t="str">
        <f>V261</f>
        <v/>
      </c>
      <c r="W263" s="30"/>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0"/>
      <c r="AC263" s="535" t="b">
        <f>AND(AC261,Y263&lt;&gt;EUconst_NA)</f>
        <v>0</v>
      </c>
      <c r="AD263" s="30"/>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0"/>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0"/>
      <c r="BA263" s="30"/>
      <c r="BB263" s="547" t="s">
        <v>594</v>
      </c>
      <c r="BC263" s="546" t="str">
        <f>IF(K251=BC261,AR261*IF(AJ263=EUconst_tCO2pTJ,(AR264/1000),1)*AR263*AR265*AR269,"")</f>
        <v/>
      </c>
      <c r="BD263" s="524" t="str">
        <f>IF(K251=BD261,AR261*AR263*AR266*AR269,"")</f>
        <v/>
      </c>
      <c r="BE263" s="523"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1" t="b">
        <f>OR(BZ261,Y263=EUconst_NA)</f>
        <v>1</v>
      </c>
    </row>
    <row r="264" spans="1:78" s="142" customFormat="1" ht="12.75" hidden="1" customHeight="1" thickBot="1">
      <c r="A264" s="808"/>
      <c r="B264" s="166"/>
      <c r="C264" s="814" t="s">
        <v>198</v>
      </c>
      <c r="D264" s="512" t="str">
        <f>Translations!$B$636</f>
        <v>GŠV:</v>
      </c>
      <c r="E264" s="513"/>
      <c r="F264" s="548"/>
      <c r="G264" s="1532" t="str">
        <f t="shared" si="49"/>
        <v/>
      </c>
      <c r="H264" s="1533"/>
      <c r="I264" s="1169" t="str">
        <f>AJ264</f>
        <v/>
      </c>
      <c r="J264" s="549"/>
      <c r="K264" s="550" t="str">
        <f t="shared" si="50"/>
        <v/>
      </c>
      <c r="L264" s="551"/>
      <c r="M264" s="709" t="str">
        <f>IF(AND(E252&lt;&gt;"",OR(F264="",COUNT(K264:L264)=0),Y264&lt;&gt;EUconst_NA,T252&lt;&gt;TRUE),EUconst_ERR_Incomplete,IF(COUNTIF(AX264:AZ264,TRUE)&gt;0,EUconst_ERR_Inconsistent,""))</f>
        <v/>
      </c>
      <c r="O264" s="733"/>
      <c r="P264" s="33"/>
      <c r="Q264" s="33"/>
      <c r="R264" s="33"/>
      <c r="S264" s="30"/>
      <c r="T264" s="552" t="str">
        <f>EUconst_CNTR_NCV&amp;E252</f>
        <v>NCV_</v>
      </c>
      <c r="U264" s="497"/>
      <c r="V264" s="553" t="str">
        <f t="shared" ref="V264:V269" si="55">V263</f>
        <v/>
      </c>
      <c r="W264" s="30"/>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0"/>
      <c r="AC264" s="557" t="b">
        <f>AND(AC261,Y264&lt;&gt;EUconst_NA)</f>
        <v>0</v>
      </c>
      <c r="AD264" s="30"/>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0"/>
      <c r="AV264" s="567" t="b">
        <f t="shared" si="52"/>
        <v>0</v>
      </c>
      <c r="AW264" s="568" t="b">
        <f t="shared" si="53"/>
        <v>0</v>
      </c>
      <c r="AX264" s="30"/>
      <c r="AY264" s="553" t="b">
        <f t="shared" si="54"/>
        <v>0</v>
      </c>
      <c r="AZ264" s="30"/>
      <c r="BA264" s="30"/>
      <c r="BB264" s="547" t="s">
        <v>595</v>
      </c>
      <c r="BC264" s="546" t="str">
        <f>IF(K251=BC261,AR261*IF(AJ263=EUconst_tCO2pTJ,(AR264/1000),1)*AR263*AR265*AR268,"")</f>
        <v/>
      </c>
      <c r="BD264" s="524" t="str">
        <f>IF(K251=BD261,AR261*AR263*AR266*AR268,"")</f>
        <v/>
      </c>
      <c r="BE264" s="523"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3" t="b">
        <f>OR(BZ261,Y264=EUconst_NA)</f>
        <v>1</v>
      </c>
    </row>
    <row r="265" spans="1:78" s="142" customFormat="1" ht="12.75" hidden="1" customHeight="1" thickBot="1">
      <c r="A265" s="808"/>
      <c r="B265" s="166"/>
      <c r="C265" s="814" t="s">
        <v>199</v>
      </c>
      <c r="D265" s="512" t="str">
        <f>Translations!$B$638</f>
        <v>OksK:</v>
      </c>
      <c r="E265" s="513"/>
      <c r="F265" s="548"/>
      <c r="G265" s="1532" t="str">
        <f t="shared" si="49"/>
        <v/>
      </c>
      <c r="H265" s="1533"/>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3"/>
      <c r="Q265" s="33"/>
      <c r="R265" s="33"/>
      <c r="S265" s="30"/>
      <c r="T265" s="552" t="str">
        <f>EUconst_CNTR_OxidationFactor&amp;E252</f>
        <v>OxF_</v>
      </c>
      <c r="U265" s="497"/>
      <c r="V265" s="553" t="str">
        <f t="shared" si="55"/>
        <v/>
      </c>
      <c r="W265" s="30"/>
      <c r="X265" s="497"/>
      <c r="Y265" s="554" t="str">
        <f>IF(OR(T252=TRUE,E252=""),"",INDEX(EUwideConstants!$N:$N,MATCH(T265,EUwideConstants!$Q:$Q,0)))</f>
        <v/>
      </c>
      <c r="Z265" s="555" t="str">
        <f>IF(ISBLANK(F265),"",IF(F265=EUconst_NA,"",INDEX(EUwideConstants!$H:$M,MATCH(T265,EUwideConstants!$Q:$Q,0),MATCH(F265,CNTR_TierList,0))))</f>
        <v/>
      </c>
      <c r="AA265" s="534" t="str">
        <f>IF(F265=1,1,"")</f>
        <v/>
      </c>
      <c r="AB265" s="30"/>
      <c r="AC265" s="557" t="b">
        <f>AND(AC261,Y265&lt;&gt;EUconst_NA)</f>
        <v>0</v>
      </c>
      <c r="AD265" s="30"/>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0"/>
      <c r="AV265" s="567" t="b">
        <f t="shared" si="52"/>
        <v>0</v>
      </c>
      <c r="AW265" s="568" t="b">
        <f t="shared" si="53"/>
        <v>0</v>
      </c>
      <c r="AX265" s="30"/>
      <c r="AY265" s="594" t="b">
        <f t="shared" si="54"/>
        <v>0</v>
      </c>
      <c r="AZ265" s="531" t="b">
        <f>AR265&gt;100%</f>
        <v>0</v>
      </c>
      <c r="BA265" s="30"/>
      <c r="BB265" s="547" t="s">
        <v>290</v>
      </c>
      <c r="BC265" s="546" t="str">
        <f>IF(K251=BC261,AR261*IF(AJ263=EUconst_tCO2pTJ,(AR264/1000),1)*AR263*AR265*(1-AR268),"")</f>
        <v/>
      </c>
      <c r="BD265" s="524" t="str">
        <f>IF(K251=BD261,AR261*AR263*AR266*(1-AR268),"")</f>
        <v/>
      </c>
      <c r="BE265" s="523"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3" t="b">
        <f>OR(BZ261,Y265=EUconst_NA)</f>
        <v>1</v>
      </c>
    </row>
    <row r="266" spans="1:78" s="142" customFormat="1" ht="12.75" hidden="1" customHeight="1" thickBot="1">
      <c r="A266" s="808"/>
      <c r="B266" s="166"/>
      <c r="C266" s="814" t="s">
        <v>200</v>
      </c>
      <c r="D266" s="512" t="str">
        <f>Translations!$B$639</f>
        <v>KonvK:</v>
      </c>
      <c r="E266" s="513"/>
      <c r="F266" s="548"/>
      <c r="G266" s="1532" t="str">
        <f t="shared" si="49"/>
        <v/>
      </c>
      <c r="H266" s="1533"/>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3"/>
      <c r="Q266" s="33"/>
      <c r="R266" s="33"/>
      <c r="S266" s="30"/>
      <c r="T266" s="552" t="str">
        <f>EUconst_CNTR_ConversionFactor&amp;E252</f>
        <v>ConvF_</v>
      </c>
      <c r="U266" s="497"/>
      <c r="V266" s="553" t="str">
        <f t="shared" si="55"/>
        <v/>
      </c>
      <c r="W266" s="30"/>
      <c r="X266" s="497"/>
      <c r="Y266" s="554" t="str">
        <f>IF(OR(T252=TRUE,E252=""),"",INDEX(EUwideConstants!$N:$N,MATCH(T266,EUwideConstants!$Q:$Q,0)))</f>
        <v/>
      </c>
      <c r="Z266" s="555" t="str">
        <f>IF(ISBLANK(F266),"",IF(F266=EUconst_NA,"",INDEX(EUwideConstants!$H:$M,MATCH(T266,EUwideConstants!$Q:$Q,0),MATCH(F266,CNTR_TierList,0))))</f>
        <v/>
      </c>
      <c r="AA266" s="582" t="str">
        <f>IF(F266=1,1,"")</f>
        <v/>
      </c>
      <c r="AB266" s="30"/>
      <c r="AC266" s="557" t="b">
        <f>AND(AC261,Y266&lt;&gt;EUconst_NA)</f>
        <v>0</v>
      </c>
      <c r="AD266" s="30"/>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0"/>
      <c r="AV266" s="567" t="b">
        <f t="shared" si="52"/>
        <v>0</v>
      </c>
      <c r="AW266" s="568" t="b">
        <f t="shared" si="53"/>
        <v>0</v>
      </c>
      <c r="AX266" s="30"/>
      <c r="AY266" s="594" t="b">
        <f t="shared" si="54"/>
        <v>0</v>
      </c>
      <c r="AZ266" s="580" t="b">
        <f>AR266&gt;100%</f>
        <v>0</v>
      </c>
      <c r="BA266" s="30"/>
      <c r="BB266" s="578" t="s">
        <v>487</v>
      </c>
      <c r="BC266" s="579">
        <f>AR261*AR264/1000*(1-AR268)</f>
        <v>0</v>
      </c>
      <c r="BD266" s="580">
        <f>BC266</f>
        <v>0</v>
      </c>
      <c r="BE266" s="581">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3" t="b">
        <f>OR(BZ261,Y266=EUconst_NA)</f>
        <v>1</v>
      </c>
    </row>
    <row r="267" spans="1:78" s="142" customFormat="1" ht="12.75" hidden="1" customHeight="1" thickBot="1">
      <c r="A267" s="808"/>
      <c r="B267" s="166"/>
      <c r="C267" s="814" t="s">
        <v>329</v>
      </c>
      <c r="D267" s="512" t="str">
        <f>Translations!$B$640</f>
        <v>AnglK:</v>
      </c>
      <c r="E267" s="513"/>
      <c r="F267" s="548"/>
      <c r="G267" s="1532" t="str">
        <f t="shared" si="49"/>
        <v/>
      </c>
      <c r="H267" s="1533"/>
      <c r="I267" s="1170" t="str">
        <f>AJ267</f>
        <v/>
      </c>
      <c r="J267" s="586"/>
      <c r="K267" s="587" t="str">
        <f t="shared" si="50"/>
        <v/>
      </c>
      <c r="L267" s="588"/>
      <c r="M267" s="709" t="str">
        <f>IF(AND(E252&lt;&gt;"",OR(F267="",COUNT(K267:L267)=0),Y267&lt;&gt;EUconst_NA,T252&lt;&gt;TRUE),EUconst_ERR_Incomplete,IF(COUNTIF(AX267:AZ267,TRUE)&gt;0,EUconst_ERR_Inconsistent,""))</f>
        <v/>
      </c>
      <c r="O267" s="733"/>
      <c r="P267" s="33"/>
      <c r="Q267" s="33"/>
      <c r="R267" s="33"/>
      <c r="S267" s="30"/>
      <c r="T267" s="552" t="str">
        <f>EUconst_CNTR_CarbonContent&amp;E252</f>
        <v>CarbC_</v>
      </c>
      <c r="U267" s="497"/>
      <c r="V267" s="553" t="str">
        <f t="shared" si="55"/>
        <v/>
      </c>
      <c r="W267" s="30"/>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0"/>
      <c r="AC267" s="557" t="b">
        <f>AND(AC261,Y267&lt;&gt;EUconst_NA)</f>
        <v>0</v>
      </c>
      <c r="AD267" s="30"/>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0"/>
      <c r="AV267" s="567" t="b">
        <f t="shared" si="52"/>
        <v>0</v>
      </c>
      <c r="AW267" s="568" t="b">
        <f t="shared" si="53"/>
        <v>0</v>
      </c>
      <c r="AX267" s="546" t="b">
        <f>OR(AND(AJ261=EUconst_kNm3,AJ267=EUconst_tCpt),AND(AJ261=EUconst_t,AJ267=EUconst_tCpkNm3))</f>
        <v>0</v>
      </c>
      <c r="AY267" s="553" t="b">
        <f t="shared" si="54"/>
        <v>0</v>
      </c>
      <c r="AZ267" s="30"/>
      <c r="BA267" s="30"/>
      <c r="BB267" s="578" t="s">
        <v>488</v>
      </c>
      <c r="BC267" s="579">
        <f>AR261*AR264/1000*AR268</f>
        <v>0</v>
      </c>
      <c r="BD267" s="580">
        <f>BC267</f>
        <v>0</v>
      </c>
      <c r="BE267" s="581">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3" t="b">
        <f>OR(BZ261,Y267=EUconst_NA)</f>
        <v>1</v>
      </c>
    </row>
    <row r="268" spans="1:78" s="142" customFormat="1" ht="12.75" hidden="1" customHeight="1">
      <c r="A268" s="808"/>
      <c r="B268" s="166"/>
      <c r="C268" s="777" t="s">
        <v>330</v>
      </c>
      <c r="D268" s="512" t="str">
        <f>Translations!$B$641</f>
        <v>BioC:</v>
      </c>
      <c r="E268" s="513"/>
      <c r="F268" s="548"/>
      <c r="G268" s="1532" t="str">
        <f t="shared" si="49"/>
        <v/>
      </c>
      <c r="H268" s="1533"/>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0"/>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0"/>
      <c r="AC268" s="557" t="b">
        <f>AND(AC261,Y268&lt;&gt;EUconst_NA)</f>
        <v>0</v>
      </c>
      <c r="AD268" s="30"/>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0"/>
      <c r="AV268" s="567" t="b">
        <f t="shared" si="52"/>
        <v>0</v>
      </c>
      <c r="AW268" s="568" t="b">
        <f t="shared" si="53"/>
        <v>0</v>
      </c>
      <c r="AX268" s="30"/>
      <c r="AY268" s="594" t="b">
        <f t="shared" si="54"/>
        <v>0</v>
      </c>
      <c r="AZ268" s="531"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3" t="b">
        <f>OR(BZ261,Y268=EUconst_NA)</f>
        <v>1</v>
      </c>
    </row>
    <row r="269" spans="1:78" s="142" customFormat="1" ht="12.75" hidden="1" customHeight="1" thickBot="1">
      <c r="A269" s="808"/>
      <c r="B269" s="166"/>
      <c r="C269" s="777" t="s">
        <v>454</v>
      </c>
      <c r="D269" s="512" t="str">
        <f>Translations!$B$647</f>
        <v>Netvar. BioC:</v>
      </c>
      <c r="E269" s="513"/>
      <c r="F269" s="597"/>
      <c r="G269" s="1532" t="str">
        <f t="shared" si="49"/>
        <v/>
      </c>
      <c r="H269" s="1533"/>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0"/>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0"/>
      <c r="AC269" s="603" t="b">
        <f>AND(AC261,Y269&lt;&gt;EUconst_NA)</f>
        <v>0</v>
      </c>
      <c r="AD269" s="30"/>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0"/>
      <c r="AV269" s="613" t="b">
        <f t="shared" si="52"/>
        <v>0</v>
      </c>
      <c r="AW269" s="614" t="b">
        <f t="shared" si="53"/>
        <v>0</v>
      </c>
      <c r="AX269" s="30"/>
      <c r="AY269" s="579" t="b">
        <f t="shared" si="54"/>
        <v>0</v>
      </c>
      <c r="AZ269" s="580"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80" t="b">
        <f>OR(BZ261,Y269=EUconst_NA)</f>
        <v>1</v>
      </c>
    </row>
    <row r="270" spans="1:78" s="142" customFormat="1" ht="4.5" hidden="1" customHeight="1">
      <c r="A270" s="808"/>
      <c r="B270" s="166"/>
      <c r="C270" s="166"/>
      <c r="D270" s="180"/>
      <c r="O270" s="733"/>
      <c r="P270" s="33"/>
      <c r="Q270" s="33"/>
      <c r="R270" s="33"/>
      <c r="S270" s="174"/>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hidden="1" customHeight="1">
      <c r="A271" s="808"/>
      <c r="B271" s="166"/>
      <c r="C271" s="166"/>
      <c r="D271" s="1558" t="str">
        <f>Translations!$B$674</f>
        <v>Pakopos galioja nuo:</v>
      </c>
      <c r="E271" s="1558"/>
      <c r="F271" s="1559"/>
      <c r="G271" s="1052"/>
      <c r="H271" s="615" t="str">
        <f>Translations!$B$675</f>
        <v>iki:</v>
      </c>
      <c r="I271" s="1052"/>
      <c r="J271" s="1536" t="str">
        <f>Translations!$B$676</f>
        <v>Atliekų katalogo numeris (jeigu taikytina):</v>
      </c>
      <c r="K271" s="1537"/>
      <c r="L271" s="1537"/>
      <c r="M271" s="1538"/>
      <c r="N271" s="1289"/>
      <c r="O271" s="733"/>
      <c r="P271" s="33"/>
      <c r="Q271" s="33"/>
      <c r="R271" s="33"/>
      <c r="S271" s="1290"/>
      <c r="T271" s="492"/>
      <c r="U271" s="492"/>
      <c r="V271" s="48" t="b">
        <f>IF(V261="",FALSE,INDEX(CNTR_IsWaste,MATCH(V261,MSParameters!$A$218:$A$376,0)))</f>
        <v>0</v>
      </c>
      <c r="W271" s="1290"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hidden="1" customHeight="1">
      <c r="A272" s="808"/>
      <c r="B272" s="166"/>
      <c r="C272" s="166"/>
      <c r="D272" s="615"/>
      <c r="E272" s="495"/>
      <c r="F272" s="495"/>
      <c r="G272" s="495"/>
      <c r="H272" s="495"/>
      <c r="I272" s="495"/>
      <c r="J272" s="495"/>
      <c r="K272" s="495"/>
      <c r="L272" s="495"/>
      <c r="M272" s="495"/>
      <c r="N272" s="495"/>
      <c r="O272" s="733"/>
      <c r="P272" s="33"/>
      <c r="Q272" s="33"/>
      <c r="R272" s="33"/>
      <c r="S272" s="174"/>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hidden="1" customHeight="1">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3"/>
      <c r="Q273" s="33"/>
      <c r="R273" s="33"/>
      <c r="S273" s="174"/>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hidden="1" customHeight="1">
      <c r="A274" s="815"/>
      <c r="D274" s="180"/>
      <c r="O274" s="573"/>
      <c r="P274" s="497"/>
      <c r="Q274" s="497"/>
      <c r="R274" s="497"/>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hidden="1">
      <c r="A275" s="815"/>
      <c r="D275" s="1534" t="str">
        <f>Translations!$B$160</f>
        <v>Pastabos:</v>
      </c>
      <c r="E275" s="1535"/>
      <c r="F275" s="1539"/>
      <c r="G275" s="1540"/>
      <c r="H275" s="1540"/>
      <c r="I275" s="1540"/>
      <c r="J275" s="1540"/>
      <c r="K275" s="1540"/>
      <c r="L275" s="1540"/>
      <c r="M275" s="1540"/>
      <c r="N275" s="1541"/>
      <c r="O275" s="573"/>
      <c r="P275" s="497"/>
      <c r="Q275" s="497"/>
      <c r="R275" s="497"/>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c r="A276" s="808"/>
      <c r="B276" s="495"/>
      <c r="C276" s="499"/>
      <c r="D276" s="500"/>
      <c r="E276" s="501"/>
      <c r="F276" s="499"/>
      <c r="G276" s="502"/>
      <c r="H276" s="502"/>
      <c r="I276" s="502"/>
      <c r="J276" s="502"/>
      <c r="K276" s="502"/>
      <c r="L276" s="502"/>
      <c r="M276" s="502"/>
      <c r="N276" s="502"/>
      <c r="O276" s="740"/>
      <c r="P276" s="494"/>
      <c r="Q276" s="494"/>
      <c r="R276" s="494"/>
      <c r="S276" s="58"/>
      <c r="T276" s="58"/>
      <c r="U276" s="498"/>
      <c r="V276" s="58"/>
      <c r="W276" s="58"/>
      <c r="X276" s="49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c r="A277" s="813"/>
      <c r="B277" s="495"/>
      <c r="C277" s="495"/>
      <c r="D277" s="180"/>
      <c r="E277" s="496"/>
      <c r="F277" s="495"/>
      <c r="G277" s="487"/>
      <c r="H277" s="487"/>
      <c r="I277" s="487"/>
      <c r="J277" s="487"/>
      <c r="K277" s="495"/>
      <c r="L277" s="487"/>
      <c r="M277" s="487"/>
      <c r="N277" s="487"/>
      <c r="O277" s="740"/>
      <c r="P277" s="494"/>
      <c r="Q277" s="494"/>
      <c r="R277" s="494"/>
      <c r="S277" s="23"/>
      <c r="T277" s="27" t="str">
        <f>IF(ISBLANK(E278),"",MATCH(E278,CNTR_SourceStreamNames,0))</f>
        <v/>
      </c>
      <c r="U277" s="618"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1"/>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3" t="s">
        <v>262</v>
      </c>
    </row>
    <row r="278" spans="1:78" s="142" customFormat="1" ht="15" hidden="1" customHeight="1" thickBot="1">
      <c r="A278" s="869" t="str">
        <f>IF(E278="","","PRINT")</f>
        <v/>
      </c>
      <c r="B278" s="166"/>
      <c r="C278" s="617">
        <f>C251+1</f>
        <v>9</v>
      </c>
      <c r="D278" s="166"/>
      <c r="E278" s="1542"/>
      <c r="F278" s="1543"/>
      <c r="G278" s="1543"/>
      <c r="H278" s="1543"/>
      <c r="I278" s="1543"/>
      <c r="J278" s="1544"/>
      <c r="K278" s="1545" t="str">
        <f>IF(E279="","",INDEX(EUwideConstants!$F$353:$F$394,MATCH(E279,EUConst_TierActivityListNames,0)))</f>
        <v/>
      </c>
      <c r="L278" s="1546"/>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3"/>
      <c r="T278" s="509" t="s">
        <v>393</v>
      </c>
      <c r="U278" s="23"/>
      <c r="V278" s="78"/>
      <c r="W278" s="56"/>
      <c r="X278" s="58"/>
      <c r="Y278" s="58"/>
      <c r="Z278" s="58"/>
      <c r="AA278" s="58"/>
      <c r="AB278" s="58"/>
      <c r="AC278" s="58"/>
      <c r="AD278" s="58"/>
      <c r="AE278" s="58"/>
      <c r="AF278" s="58"/>
      <c r="AG278" s="58"/>
      <c r="AH278" s="58"/>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6"/>
      <c r="BZ278" s="619" t="b">
        <f>CNTR_CalcRelevant=EUconst_NotRelevant</f>
        <v>0</v>
      </c>
    </row>
    <row r="279" spans="1:78" s="142" customFormat="1" ht="15" hidden="1" customHeight="1" thickBot="1">
      <c r="A279" s="808"/>
      <c r="B279" s="166"/>
      <c r="C279" s="166"/>
      <c r="D279" s="166"/>
      <c r="E279" s="1547" t="str">
        <f>IF(ISBLANK(E278),"",IF(INDEX(B_InstallationDescription!$E$71:$E$145,MATCH(U277,B_InstallationDescription!$D$71:$D$145,0))&gt;0,INDEX(B_InstallationDescription!$E$71:$E$145,MATCH(U277,B_InstallationDescription!$D$71:$D$145,0)),""))</f>
        <v/>
      </c>
      <c r="F279" s="1548"/>
      <c r="G279" s="1548"/>
      <c r="H279" s="1548"/>
      <c r="I279" s="1548"/>
      <c r="J279" s="1549"/>
      <c r="M279" s="346" t="str">
        <f>Translations!$B$666</f>
        <v>CO2, biomasės kilmės.:</v>
      </c>
      <c r="N279" s="1051" t="str">
        <f>IF(OR(K278="",T279=TRUE),"",INDEX(BC291:BE291,MATCH(K278,BC288:BE288,0)))</f>
        <v/>
      </c>
      <c r="O279" s="742" t="s">
        <v>260</v>
      </c>
      <c r="P279" s="494"/>
      <c r="Q279" s="352" t="str">
        <f>EUconst_SumBioCO2 &amp; "_" &amp; K278</f>
        <v>SUM_bioCO2_</v>
      </c>
      <c r="R279" s="494"/>
      <c r="S279" s="23"/>
      <c r="T279" s="48" t="str">
        <f>IF(E279="","",MATCH(E279,EUConst_TierActivityListNames,0)&gt;40)</f>
        <v/>
      </c>
      <c r="U279" s="23"/>
      <c r="V279" s="78"/>
      <c r="W279" s="56"/>
      <c r="X279" s="58"/>
      <c r="Y279" s="27" t="s">
        <v>93</v>
      </c>
      <c r="Z279" s="30"/>
      <c r="AA279" s="30"/>
      <c r="AB279" s="30"/>
      <c r="AC279" s="30"/>
      <c r="AD279" s="30"/>
      <c r="AE279" s="27" t="s">
        <v>302</v>
      </c>
      <c r="AF279" s="58"/>
      <c r="AG279" s="504"/>
      <c r="AH279" s="30"/>
      <c r="AI279" s="30"/>
      <c r="AJ279" s="504"/>
      <c r="AK279" s="504"/>
      <c r="AL279" s="342"/>
      <c r="AM279" s="27" t="s">
        <v>308</v>
      </c>
      <c r="AN279" s="505"/>
      <c r="AO279" s="505"/>
      <c r="AP279" s="30"/>
      <c r="AQ279" s="30"/>
      <c r="AR279" s="30"/>
      <c r="AS279" s="30"/>
      <c r="AT279" s="30"/>
      <c r="AU279" s="30"/>
      <c r="AV279" s="27" t="s">
        <v>315</v>
      </c>
      <c r="AW279" s="30"/>
      <c r="AX279" s="492"/>
      <c r="AY279" s="30"/>
      <c r="AZ279" s="30"/>
      <c r="BA279" s="30"/>
      <c r="BB279" s="27" t="s">
        <v>219</v>
      </c>
      <c r="BC279" s="30"/>
      <c r="BD279" s="30"/>
      <c r="BE279" s="30"/>
      <c r="BF279" s="30"/>
      <c r="BG279" s="27"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0"/>
      <c r="BZ279" s="30"/>
    </row>
    <row r="280" spans="1:78" s="142" customFormat="1" ht="5.0999999999999996" hidden="1" customHeight="1">
      <c r="A280" s="808"/>
      <c r="B280" s="166"/>
      <c r="C280" s="166"/>
      <c r="D280" s="166"/>
      <c r="E280" s="166"/>
      <c r="F280" s="166"/>
      <c r="G280" s="166"/>
      <c r="M280" s="143"/>
      <c r="N280" s="143"/>
      <c r="O280" s="733"/>
      <c r="P280" s="33"/>
      <c r="Q280" s="33"/>
      <c r="R280" s="33"/>
      <c r="S280" s="23"/>
      <c r="T280" s="23"/>
      <c r="U280" s="23"/>
      <c r="V280" s="78"/>
      <c r="W280" s="30"/>
      <c r="X280" s="30"/>
      <c r="Y280" s="494"/>
      <c r="Z280" s="30"/>
      <c r="AA280" s="30"/>
      <c r="AB280" s="30"/>
      <c r="AC280" s="30"/>
      <c r="AD280" s="30"/>
      <c r="AE280" s="30"/>
      <c r="AF280" s="58"/>
      <c r="AG280" s="30"/>
      <c r="AH280" s="30"/>
      <c r="AI280" s="30"/>
      <c r="AJ280" s="504"/>
      <c r="AK280" s="504"/>
      <c r="AL280" s="342"/>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hidden="1" customHeight="1" thickBot="1">
      <c r="A281" s="808"/>
      <c r="B281" s="166"/>
      <c r="C281" s="166"/>
      <c r="D281" s="166"/>
      <c r="E281" s="1550" t="str">
        <f>IF(E278="","",IF(T279=TRUE,HYPERLINK("#JUMP_14",EUconst_MsgGoOnPFC),HYPERLINK("#JUMP_E_8",EUconst_FurtherGuidancePoint1)))</f>
        <v/>
      </c>
      <c r="F281" s="1550"/>
      <c r="G281" s="1550"/>
      <c r="H281" s="1550"/>
      <c r="I281" s="1550"/>
      <c r="J281" s="1550"/>
      <c r="K281" s="1550"/>
      <c r="L281" s="1550"/>
      <c r="M281" s="1550"/>
      <c r="N281" s="143"/>
      <c r="O281" s="733"/>
      <c r="P281" s="33"/>
      <c r="Q281" s="352" t="str">
        <f>EUconst_SumNonSustBioCO2 &amp; "_" &amp; K278</f>
        <v>SUM_bioNonSustCO2_</v>
      </c>
      <c r="R281" s="707"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4"/>
      <c r="AK281" s="504"/>
      <c r="AL281" s="342"/>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hidden="1" customHeight="1">
      <c r="A282" s="808"/>
      <c r="B282" s="166"/>
      <c r="C282" s="166"/>
      <c r="D282" s="166"/>
      <c r="E282" s="166"/>
      <c r="F282" s="166"/>
      <c r="G282" s="166"/>
      <c r="M282" s="143"/>
      <c r="N282" s="143"/>
      <c r="O282" s="733"/>
      <c r="P282" s="23"/>
      <c r="Q282" s="23"/>
      <c r="R282" s="23"/>
      <c r="S282" s="23"/>
      <c r="T282" s="23"/>
      <c r="U282" s="23"/>
      <c r="V282" s="30"/>
      <c r="W282" s="30"/>
      <c r="X282" s="30"/>
      <c r="Y282" s="494"/>
      <c r="Z282" s="30"/>
      <c r="AA282" s="30"/>
      <c r="AB282" s="30"/>
      <c r="AC282" s="30"/>
      <c r="AD282" s="30"/>
      <c r="AE282" s="30"/>
      <c r="AF282" s="58"/>
      <c r="AG282" s="30"/>
      <c r="AH282" s="30"/>
      <c r="AI282" s="30"/>
      <c r="AJ282" s="504"/>
      <c r="AK282" s="504"/>
      <c r="AL282" s="342"/>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hidden="1" customHeight="1" thickBot="1">
      <c r="A283" s="808"/>
      <c r="B283" s="166"/>
      <c r="C283" s="814" t="s">
        <v>4</v>
      </c>
      <c r="D283" s="512" t="str">
        <f>Translations!$B$622</f>
        <v>VD:</v>
      </c>
      <c r="E283" s="1560" t="str">
        <f>Translations!$B$667</f>
        <v>Ar veiklos duomenys gaunami sudedant išmatuotus kiekius (t. y. ne atliekant nuolatinius matavimus)?</v>
      </c>
      <c r="F283" s="1560"/>
      <c r="G283" s="1560"/>
      <c r="H283" s="1560"/>
      <c r="I283" s="1560"/>
      <c r="J283" s="1560"/>
      <c r="K283" s="1560"/>
      <c r="L283" s="1179"/>
      <c r="M283" s="507"/>
      <c r="O283" s="733"/>
      <c r="P283" s="23"/>
      <c r="Q283" s="23"/>
      <c r="R283" s="23"/>
      <c r="S283" s="23"/>
      <c r="T283" s="23"/>
      <c r="U283" s="23"/>
      <c r="V283" s="30"/>
      <c r="W283" s="30"/>
      <c r="X283" s="30"/>
      <c r="Y283" s="494"/>
      <c r="Z283" s="30"/>
      <c r="AA283" s="30"/>
      <c r="AB283" s="30"/>
      <c r="AC283" s="1172" t="b">
        <f>AND(E278&lt;&gt;"",T279&lt;&gt;TRUE)</f>
        <v>0</v>
      </c>
      <c r="AD283" s="30"/>
      <c r="AE283" s="30"/>
      <c r="AF283" s="58"/>
      <c r="AG283" s="30"/>
      <c r="AH283" s="30"/>
      <c r="AI283" s="30"/>
      <c r="AJ283" s="504"/>
      <c r="AK283" s="504"/>
      <c r="AL283" s="342"/>
      <c r="AM283" s="30"/>
      <c r="AN283" s="30"/>
      <c r="AO283" s="30"/>
      <c r="AP283" s="30"/>
      <c r="AQ283" s="30"/>
      <c r="AR283" s="30"/>
      <c r="AS283" s="30"/>
      <c r="AT283" s="1172"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2" t="b">
        <f>OR(CNTR_CalcRelevant=EUconst_NotRelevant,AND(COUNTA(CNTR_ListRelevantSections)&gt;0,OR(T279=TRUE,E278="")))</f>
        <v>1</v>
      </c>
    </row>
    <row r="284" spans="1:78" s="142" customFormat="1" ht="5.0999999999999996" hidden="1" customHeight="1">
      <c r="A284" s="808"/>
      <c r="B284" s="166"/>
      <c r="C284" s="166"/>
      <c r="D284" s="166"/>
      <c r="E284" s="166"/>
      <c r="F284" s="166"/>
      <c r="G284" s="166"/>
      <c r="H284" s="495"/>
      <c r="I284" s="495"/>
      <c r="J284" s="495"/>
      <c r="K284" s="495"/>
      <c r="L284" s="495"/>
      <c r="M284" s="507"/>
      <c r="O284" s="733"/>
      <c r="P284" s="23"/>
      <c r="Q284" s="23"/>
      <c r="R284" s="23"/>
      <c r="S284" s="23"/>
      <c r="T284" s="23"/>
      <c r="U284" s="23"/>
      <c r="V284" s="30"/>
      <c r="W284" s="30"/>
      <c r="X284" s="30"/>
      <c r="Y284" s="494"/>
      <c r="Z284" s="30"/>
      <c r="AA284" s="30"/>
      <c r="AB284" s="30"/>
      <c r="AC284" s="492"/>
      <c r="AD284" s="30"/>
      <c r="AE284" s="30"/>
      <c r="AF284" s="58"/>
      <c r="AG284" s="30"/>
      <c r="AH284" s="30"/>
      <c r="AI284" s="30"/>
      <c r="AJ284" s="504"/>
      <c r="AK284" s="504"/>
      <c r="AL284" s="342"/>
      <c r="AM284" s="30"/>
      <c r="AN284" s="30"/>
      <c r="AO284" s="30"/>
      <c r="AP284" s="30"/>
      <c r="AQ284" s="30"/>
      <c r="AR284" s="30"/>
      <c r="AS284" s="30"/>
      <c r="AT284" s="492"/>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2"/>
    </row>
    <row r="285" spans="1:78" s="142" customFormat="1" ht="12.75" hidden="1" customHeight="1" thickBot="1">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3"/>
      <c r="Q285" s="23"/>
      <c r="R285" s="23"/>
      <c r="S285" s="23"/>
      <c r="T285" s="23"/>
      <c r="U285" s="23"/>
      <c r="V285" s="30"/>
      <c r="W285" s="30"/>
      <c r="X285" s="30"/>
      <c r="Y285" s="494"/>
      <c r="Z285" s="30"/>
      <c r="AA285" s="30"/>
      <c r="AB285" s="30"/>
      <c r="AC285" s="1172" t="b">
        <f>AC283</f>
        <v>0</v>
      </c>
      <c r="AD285" s="30"/>
      <c r="AE285" s="30"/>
      <c r="AF285" s="58"/>
      <c r="AG285" s="30"/>
      <c r="AH285" s="30"/>
      <c r="AI285" s="30"/>
      <c r="AJ285" s="504"/>
      <c r="AK285" s="504"/>
      <c r="AL285" s="342"/>
      <c r="AM285" s="30"/>
      <c r="AN285" s="30"/>
      <c r="AO285" s="30"/>
      <c r="AP285" s="30"/>
      <c r="AQ285" s="30"/>
      <c r="AR285" s="30"/>
      <c r="AS285" s="30"/>
      <c r="AT285" s="1172"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2" t="b">
        <f>OR(BZ283,AND(NOT(ISBLANK(L283)),L283=FALSE))</f>
        <v>1</v>
      </c>
    </row>
    <row r="286" spans="1:78" s="142" customFormat="1" ht="5.0999999999999996" hidden="1" customHeight="1">
      <c r="A286" s="808"/>
      <c r="B286" s="166"/>
      <c r="C286" s="166"/>
      <c r="D286" s="166"/>
      <c r="E286" s="166"/>
      <c r="F286" s="166"/>
      <c r="G286" s="166"/>
      <c r="M286" s="143"/>
      <c r="N286" s="143"/>
      <c r="O286" s="733"/>
      <c r="P286" s="23"/>
      <c r="Q286" s="23"/>
      <c r="R286" s="23"/>
      <c r="S286" s="23"/>
      <c r="T286" s="23"/>
      <c r="U286" s="23"/>
      <c r="V286" s="30"/>
      <c r="W286" s="30"/>
      <c r="X286" s="30"/>
      <c r="Y286" s="494"/>
      <c r="Z286" s="30"/>
      <c r="AA286" s="30"/>
      <c r="AB286" s="30"/>
      <c r="AC286" s="30"/>
      <c r="AD286" s="30"/>
      <c r="AE286" s="30"/>
      <c r="AF286" s="58"/>
      <c r="AG286" s="30"/>
      <c r="AH286" s="30"/>
      <c r="AI286" s="30"/>
      <c r="AJ286" s="504"/>
      <c r="AK286" s="504"/>
      <c r="AL286" s="342"/>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hidden="1" customHeight="1" thickBot="1">
      <c r="A287" s="808"/>
      <c r="B287" s="166"/>
      <c r="C287" s="166"/>
      <c r="D287" s="166"/>
      <c r="E287" s="166"/>
      <c r="F287" s="506" t="str">
        <f>Translations!$B$333</f>
        <v>Pakopa</v>
      </c>
      <c r="G287" s="1557" t="str">
        <f>Translations!$B$672</f>
        <v>pakopos aprašas</v>
      </c>
      <c r="H287" s="1557"/>
      <c r="I287" s="1555" t="str">
        <f>Translations!$B$158</f>
        <v>Vienetas</v>
      </c>
      <c r="J287" s="1555"/>
      <c r="K287" s="1555" t="str">
        <f>Translations!$B$673</f>
        <v>Vertė</v>
      </c>
      <c r="L287" s="1555"/>
      <c r="M287" s="507" t="str">
        <f>Translations!$B$610</f>
        <v>klaida</v>
      </c>
      <c r="O287" s="733"/>
      <c r="P287" s="508"/>
      <c r="Q287" s="352" t="str">
        <f>EUconst_SumEnergyIN &amp; "_" &amp; K278</f>
        <v>SUM_EnergyIN_</v>
      </c>
      <c r="R287" s="399" t="str">
        <f>IF(OR(K278="",T279)=TRUE,"",INDEX(BC293:BE293,MATCH(K278,BC288:BE288,0)))</f>
        <v/>
      </c>
      <c r="S287" s="30"/>
      <c r="T287" s="489"/>
      <c r="U287" s="30"/>
      <c r="V287" s="509" t="s">
        <v>303</v>
      </c>
      <c r="W287" s="30"/>
      <c r="X287" s="30"/>
      <c r="Y287" s="494" t="s">
        <v>566</v>
      </c>
      <c r="Z287" s="494" t="s">
        <v>318</v>
      </c>
      <c r="AA287" s="30"/>
      <c r="AB287" s="30"/>
      <c r="AC287" s="505" t="s">
        <v>309</v>
      </c>
      <c r="AD287" s="30"/>
      <c r="AE287" s="30"/>
      <c r="AF287" s="492" t="s">
        <v>305</v>
      </c>
      <c r="AG287" s="492" t="s">
        <v>306</v>
      </c>
      <c r="AH287" s="494" t="s">
        <v>304</v>
      </c>
      <c r="AI287" s="504" t="s">
        <v>307</v>
      </c>
      <c r="AJ287" s="504" t="s">
        <v>567</v>
      </c>
      <c r="AK287" s="510" t="s">
        <v>311</v>
      </c>
      <c r="AL287" s="342"/>
      <c r="AM287" s="30"/>
      <c r="AN287" s="492" t="s">
        <v>305</v>
      </c>
      <c r="AO287" s="492" t="s">
        <v>306</v>
      </c>
      <c r="AP287" s="511" t="s">
        <v>310</v>
      </c>
      <c r="AQ287" s="504" t="s">
        <v>569</v>
      </c>
      <c r="AR287" s="504" t="s">
        <v>568</v>
      </c>
      <c r="AS287" s="510" t="s">
        <v>311</v>
      </c>
      <c r="AT287" s="510" t="s">
        <v>311</v>
      </c>
      <c r="AU287" s="30"/>
      <c r="AV287" s="492"/>
      <c r="AW287" s="492"/>
      <c r="AX287" s="492" t="s">
        <v>321</v>
      </c>
      <c r="AY287" s="492"/>
      <c r="AZ287" s="492"/>
      <c r="BA287" s="492"/>
      <c r="BB287" s="492"/>
      <c r="BC287" s="492"/>
      <c r="BD287" s="492"/>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3" t="s">
        <v>262</v>
      </c>
    </row>
    <row r="288" spans="1:78" s="142" customFormat="1" ht="12.75" hidden="1" customHeight="1" thickBot="1">
      <c r="A288" s="808"/>
      <c r="B288" s="166"/>
      <c r="C288" s="777" t="s">
        <v>196</v>
      </c>
      <c r="D288" s="512" t="str">
        <f>Translations!$B$622</f>
        <v>VD:</v>
      </c>
      <c r="E288" s="513"/>
      <c r="F288" s="402"/>
      <c r="G288" s="1532" t="str">
        <f>IF(OR(ISBLANK(F288),F288=EUconst_NoTier),"",IF(Z288=0,EUconst_NA,IF(ISERROR(Z288),"",Z288)))</f>
        <v/>
      </c>
      <c r="H288" s="1533"/>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0"/>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0"/>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0"/>
      <c r="AV288" s="492" t="s">
        <v>314</v>
      </c>
      <c r="AW288" s="492" t="s">
        <v>319</v>
      </c>
      <c r="AX288" s="524"/>
      <c r="AY288" s="30" t="s">
        <v>542</v>
      </c>
      <c r="AZ288" s="30"/>
      <c r="BA288" s="30"/>
      <c r="BB288" s="504"/>
      <c r="BC288" s="493" t="str">
        <f>EUconst_Fuel</f>
        <v>Degimas</v>
      </c>
      <c r="BD288" s="493" t="str">
        <f>EUconst_ProcessCarbonate</f>
        <v>Proceso metu išsiskiriančios ŠESD</v>
      </c>
      <c r="BE288" s="493"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4" t="b">
        <f>BZ283</f>
        <v>1</v>
      </c>
    </row>
    <row r="289" spans="1:78" s="142" customFormat="1" ht="5.0999999999999996" hidden="1" customHeight="1">
      <c r="A289" s="808"/>
      <c r="B289" s="166"/>
      <c r="C289" s="814"/>
      <c r="D289" s="306"/>
      <c r="F289" s="143"/>
      <c r="G289" s="143"/>
      <c r="H289" s="143" t="s">
        <v>236</v>
      </c>
      <c r="I289" s="525"/>
      <c r="J289" s="525"/>
      <c r="K289" s="143"/>
      <c r="L289" s="143"/>
      <c r="M289" s="710"/>
      <c r="O289" s="733"/>
      <c r="P289" s="33"/>
      <c r="Q289" s="33"/>
      <c r="R289" s="33"/>
      <c r="S289" s="30"/>
      <c r="T289" s="155"/>
      <c r="U289" s="497"/>
      <c r="V289" s="30"/>
      <c r="W289" s="30"/>
      <c r="X289" s="497"/>
      <c r="Y289" s="526"/>
      <c r="Z289" s="30"/>
      <c r="AA289" s="30"/>
      <c r="AB289" s="30"/>
      <c r="AC289" s="30"/>
      <c r="AD289" s="30"/>
      <c r="AE289" s="30"/>
      <c r="AF289" s="30"/>
      <c r="AG289" s="30"/>
      <c r="AH289" s="30"/>
      <c r="AI289" s="30"/>
      <c r="AJ289" s="30"/>
      <c r="AK289" s="30"/>
      <c r="AL289" s="342"/>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3"/>
    </row>
    <row r="290" spans="1:78" s="142" customFormat="1" ht="12.75" hidden="1" customHeight="1" thickBot="1">
      <c r="A290" s="808"/>
      <c r="B290" s="166"/>
      <c r="C290" s="814" t="s">
        <v>197</v>
      </c>
      <c r="D290" s="512" t="str">
        <f>Translations!$B$634</f>
        <v>(prelim.) ITF:</v>
      </c>
      <c r="E290" s="513"/>
      <c r="F290" s="527"/>
      <c r="G290" s="1532" t="str">
        <f t="shared" ref="G290:G296" si="56">IF(OR(ISBLANK(F290),F290=EUconst_NoTier),"",IF(Z290=0,EUconst_NotApplicable,IF(ISERROR(Z290),"",Z290)))</f>
        <v/>
      </c>
      <c r="H290" s="1556"/>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3"/>
      <c r="Q290" s="33"/>
      <c r="R290" s="33"/>
      <c r="S290" s="30"/>
      <c r="T290" s="530" t="str">
        <f>EUconst_CNTR_EF&amp;E279</f>
        <v>EF_</v>
      </c>
      <c r="U290" s="497"/>
      <c r="V290" s="531" t="str">
        <f>V288</f>
        <v/>
      </c>
      <c r="W290" s="30"/>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0"/>
      <c r="AC290" s="535" t="b">
        <f>AND(AC288,Y290&lt;&gt;EUconst_NA)</f>
        <v>0</v>
      </c>
      <c r="AD290" s="30"/>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0"/>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0"/>
      <c r="BA290" s="30"/>
      <c r="BB290" s="547" t="s">
        <v>594</v>
      </c>
      <c r="BC290" s="546" t="str">
        <f>IF(K278=BC288,AR288*IF(AJ290=EUconst_tCO2pTJ,(AR291/1000),1)*AR290*AR292*AR296,"")</f>
        <v/>
      </c>
      <c r="BD290" s="524" t="str">
        <f>IF(K278=BD288,AR288*AR290*AR293*AR296,"")</f>
        <v/>
      </c>
      <c r="BE290" s="523"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1" t="b">
        <f>OR(BZ288,Y290=EUconst_NA)</f>
        <v>1</v>
      </c>
    </row>
    <row r="291" spans="1:78" s="142" customFormat="1" ht="12.75" hidden="1" customHeight="1" thickBot="1">
      <c r="A291" s="808"/>
      <c r="B291" s="166"/>
      <c r="C291" s="814" t="s">
        <v>198</v>
      </c>
      <c r="D291" s="512" t="str">
        <f>Translations!$B$636</f>
        <v>GŠV:</v>
      </c>
      <c r="E291" s="513"/>
      <c r="F291" s="548"/>
      <c r="G291" s="1532" t="str">
        <f t="shared" si="56"/>
        <v/>
      </c>
      <c r="H291" s="1533"/>
      <c r="I291" s="1169" t="str">
        <f>AJ291</f>
        <v/>
      </c>
      <c r="J291" s="549"/>
      <c r="K291" s="550" t="str">
        <f t="shared" si="57"/>
        <v/>
      </c>
      <c r="L291" s="551"/>
      <c r="M291" s="709" t="str">
        <f>IF(AND(E279&lt;&gt;"",OR(F291="",COUNT(K291:L291)=0),Y291&lt;&gt;EUconst_NA,T279&lt;&gt;TRUE),EUconst_ERR_Incomplete,IF(COUNTIF(AX291:AZ291,TRUE)&gt;0,EUconst_ERR_Inconsistent,""))</f>
        <v/>
      </c>
      <c r="O291" s="733"/>
      <c r="P291" s="33"/>
      <c r="Q291" s="33"/>
      <c r="R291" s="33"/>
      <c r="S291" s="30"/>
      <c r="T291" s="552" t="str">
        <f>EUconst_CNTR_NCV&amp;E279</f>
        <v>NCV_</v>
      </c>
      <c r="U291" s="497"/>
      <c r="V291" s="553" t="str">
        <f t="shared" ref="V291:V296" si="62">V290</f>
        <v/>
      </c>
      <c r="W291" s="30"/>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0"/>
      <c r="AC291" s="557" t="b">
        <f>AND(AC288,Y291&lt;&gt;EUconst_NA)</f>
        <v>0</v>
      </c>
      <c r="AD291" s="30"/>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0"/>
      <c r="AV291" s="567" t="b">
        <f t="shared" si="59"/>
        <v>0</v>
      </c>
      <c r="AW291" s="568" t="b">
        <f t="shared" si="60"/>
        <v>0</v>
      </c>
      <c r="AX291" s="30"/>
      <c r="AY291" s="553" t="b">
        <f t="shared" si="61"/>
        <v>0</v>
      </c>
      <c r="AZ291" s="30"/>
      <c r="BA291" s="30"/>
      <c r="BB291" s="547" t="s">
        <v>595</v>
      </c>
      <c r="BC291" s="546" t="str">
        <f>IF(K278=BC288,AR288*IF(AJ290=EUconst_tCO2pTJ,(AR291/1000),1)*AR290*AR292*AR295,"")</f>
        <v/>
      </c>
      <c r="BD291" s="524" t="str">
        <f>IF(K278=BD288,AR288*AR290*AR293*AR295,"")</f>
        <v/>
      </c>
      <c r="BE291" s="523"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3" t="b">
        <f>OR(BZ288,Y291=EUconst_NA)</f>
        <v>1</v>
      </c>
    </row>
    <row r="292" spans="1:78" s="142" customFormat="1" ht="12.75" hidden="1" customHeight="1" thickBot="1">
      <c r="A292" s="808"/>
      <c r="B292" s="166"/>
      <c r="C292" s="814" t="s">
        <v>199</v>
      </c>
      <c r="D292" s="512" t="str">
        <f>Translations!$B$638</f>
        <v>OksK:</v>
      </c>
      <c r="E292" s="513"/>
      <c r="F292" s="548"/>
      <c r="G292" s="1532" t="str">
        <f t="shared" si="56"/>
        <v/>
      </c>
      <c r="H292" s="1533"/>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3"/>
      <c r="Q292" s="33"/>
      <c r="R292" s="33"/>
      <c r="S292" s="30"/>
      <c r="T292" s="552" t="str">
        <f>EUconst_CNTR_OxidationFactor&amp;E279</f>
        <v>OxF_</v>
      </c>
      <c r="U292" s="497"/>
      <c r="V292" s="553" t="str">
        <f t="shared" si="62"/>
        <v/>
      </c>
      <c r="W292" s="30"/>
      <c r="X292" s="497"/>
      <c r="Y292" s="554" t="str">
        <f>IF(OR(T279=TRUE,E279=""),"",INDEX(EUwideConstants!$N:$N,MATCH(T292,EUwideConstants!$Q:$Q,0)))</f>
        <v/>
      </c>
      <c r="Z292" s="555" t="str">
        <f>IF(ISBLANK(F292),"",IF(F292=EUconst_NA,"",INDEX(EUwideConstants!$H:$M,MATCH(T292,EUwideConstants!$Q:$Q,0),MATCH(F292,CNTR_TierList,0))))</f>
        <v/>
      </c>
      <c r="AA292" s="534" t="str">
        <f>IF(F292=1,1,"")</f>
        <v/>
      </c>
      <c r="AB292" s="30"/>
      <c r="AC292" s="557" t="b">
        <f>AND(AC288,Y292&lt;&gt;EUconst_NA)</f>
        <v>0</v>
      </c>
      <c r="AD292" s="30"/>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0"/>
      <c r="AV292" s="567" t="b">
        <f t="shared" si="59"/>
        <v>0</v>
      </c>
      <c r="AW292" s="568" t="b">
        <f t="shared" si="60"/>
        <v>0</v>
      </c>
      <c r="AX292" s="30"/>
      <c r="AY292" s="594" t="b">
        <f t="shared" si="61"/>
        <v>0</v>
      </c>
      <c r="AZ292" s="531" t="b">
        <f>AR292&gt;100%</f>
        <v>0</v>
      </c>
      <c r="BA292" s="30"/>
      <c r="BB292" s="547" t="s">
        <v>290</v>
      </c>
      <c r="BC292" s="546" t="str">
        <f>IF(K278=BC288,AR288*IF(AJ290=EUconst_tCO2pTJ,(AR291/1000),1)*AR290*AR292*(1-AR295),"")</f>
        <v/>
      </c>
      <c r="BD292" s="524" t="str">
        <f>IF(K278=BD288,AR288*AR290*AR293*(1-AR295),"")</f>
        <v/>
      </c>
      <c r="BE292" s="523"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3" t="b">
        <f>OR(BZ288,Y292=EUconst_NA)</f>
        <v>1</v>
      </c>
    </row>
    <row r="293" spans="1:78" s="142" customFormat="1" ht="12.75" hidden="1" customHeight="1" thickBot="1">
      <c r="A293" s="808"/>
      <c r="B293" s="166"/>
      <c r="C293" s="814" t="s">
        <v>200</v>
      </c>
      <c r="D293" s="512" t="str">
        <f>Translations!$B$639</f>
        <v>KonvK:</v>
      </c>
      <c r="E293" s="513"/>
      <c r="F293" s="548"/>
      <c r="G293" s="1532" t="str">
        <f t="shared" si="56"/>
        <v/>
      </c>
      <c r="H293" s="1533"/>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3"/>
      <c r="Q293" s="33"/>
      <c r="R293" s="33"/>
      <c r="S293" s="30"/>
      <c r="T293" s="552" t="str">
        <f>EUconst_CNTR_ConversionFactor&amp;E279</f>
        <v>ConvF_</v>
      </c>
      <c r="U293" s="497"/>
      <c r="V293" s="553" t="str">
        <f t="shared" si="62"/>
        <v/>
      </c>
      <c r="W293" s="30"/>
      <c r="X293" s="497"/>
      <c r="Y293" s="554" t="str">
        <f>IF(OR(T279=TRUE,E279=""),"",INDEX(EUwideConstants!$N:$N,MATCH(T293,EUwideConstants!$Q:$Q,0)))</f>
        <v/>
      </c>
      <c r="Z293" s="555" t="str">
        <f>IF(ISBLANK(F293),"",IF(F293=EUconst_NA,"",INDEX(EUwideConstants!$H:$M,MATCH(T293,EUwideConstants!$Q:$Q,0),MATCH(F293,CNTR_TierList,0))))</f>
        <v/>
      </c>
      <c r="AA293" s="582" t="str">
        <f>IF(F293=1,1,"")</f>
        <v/>
      </c>
      <c r="AB293" s="30"/>
      <c r="AC293" s="557" t="b">
        <f>AND(AC288,Y293&lt;&gt;EUconst_NA)</f>
        <v>0</v>
      </c>
      <c r="AD293" s="30"/>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0"/>
      <c r="AV293" s="567" t="b">
        <f t="shared" si="59"/>
        <v>0</v>
      </c>
      <c r="AW293" s="568" t="b">
        <f t="shared" si="60"/>
        <v>0</v>
      </c>
      <c r="AX293" s="30"/>
      <c r="AY293" s="594" t="b">
        <f t="shared" si="61"/>
        <v>0</v>
      </c>
      <c r="AZ293" s="580" t="b">
        <f>AR293&gt;100%</f>
        <v>0</v>
      </c>
      <c r="BA293" s="30"/>
      <c r="BB293" s="578" t="s">
        <v>487</v>
      </c>
      <c r="BC293" s="579">
        <f>AR288*AR291/1000*(1-AR295)</f>
        <v>0</v>
      </c>
      <c r="BD293" s="580">
        <f>BC293</f>
        <v>0</v>
      </c>
      <c r="BE293" s="581">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3" t="b">
        <f>OR(BZ288,Y293=EUconst_NA)</f>
        <v>1</v>
      </c>
    </row>
    <row r="294" spans="1:78" s="142" customFormat="1" ht="12.75" hidden="1" customHeight="1" thickBot="1">
      <c r="A294" s="808"/>
      <c r="B294" s="166"/>
      <c r="C294" s="814" t="s">
        <v>329</v>
      </c>
      <c r="D294" s="512" t="str">
        <f>Translations!$B$640</f>
        <v>AnglK:</v>
      </c>
      <c r="E294" s="513"/>
      <c r="F294" s="548"/>
      <c r="G294" s="1532" t="str">
        <f t="shared" si="56"/>
        <v/>
      </c>
      <c r="H294" s="1533"/>
      <c r="I294" s="1170" t="str">
        <f>AJ294</f>
        <v/>
      </c>
      <c r="J294" s="586"/>
      <c r="K294" s="587" t="str">
        <f t="shared" si="57"/>
        <v/>
      </c>
      <c r="L294" s="588"/>
      <c r="M294" s="709" t="str">
        <f>IF(AND(E279&lt;&gt;"",OR(F294="",COUNT(K294:L294)=0),Y294&lt;&gt;EUconst_NA,T279&lt;&gt;TRUE),EUconst_ERR_Incomplete,IF(COUNTIF(AX294:AZ294,TRUE)&gt;0,EUconst_ERR_Inconsistent,""))</f>
        <v/>
      </c>
      <c r="O294" s="733"/>
      <c r="P294" s="33"/>
      <c r="Q294" s="33"/>
      <c r="R294" s="33"/>
      <c r="S294" s="30"/>
      <c r="T294" s="552" t="str">
        <f>EUconst_CNTR_CarbonContent&amp;E279</f>
        <v>CarbC_</v>
      </c>
      <c r="U294" s="497"/>
      <c r="V294" s="553" t="str">
        <f t="shared" si="62"/>
        <v/>
      </c>
      <c r="W294" s="30"/>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0"/>
      <c r="AC294" s="557" t="b">
        <f>AND(AC288,Y294&lt;&gt;EUconst_NA)</f>
        <v>0</v>
      </c>
      <c r="AD294" s="30"/>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0"/>
      <c r="AV294" s="567" t="b">
        <f t="shared" si="59"/>
        <v>0</v>
      </c>
      <c r="AW294" s="568" t="b">
        <f t="shared" si="60"/>
        <v>0</v>
      </c>
      <c r="AX294" s="546" t="b">
        <f>OR(AND(AJ288=EUconst_kNm3,AJ294=EUconst_tCpt),AND(AJ288=EUconst_t,AJ294=EUconst_tCpkNm3))</f>
        <v>0</v>
      </c>
      <c r="AY294" s="553" t="b">
        <f t="shared" si="61"/>
        <v>0</v>
      </c>
      <c r="AZ294" s="30"/>
      <c r="BA294" s="30"/>
      <c r="BB294" s="578" t="s">
        <v>488</v>
      </c>
      <c r="BC294" s="579">
        <f>AR288*AR291/1000*AR295</f>
        <v>0</v>
      </c>
      <c r="BD294" s="580">
        <f>BC294</f>
        <v>0</v>
      </c>
      <c r="BE294" s="581">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3" t="b">
        <f>OR(BZ288,Y294=EUconst_NA)</f>
        <v>1</v>
      </c>
    </row>
    <row r="295" spans="1:78" s="142" customFormat="1" ht="12.75" hidden="1" customHeight="1">
      <c r="A295" s="808"/>
      <c r="B295" s="166"/>
      <c r="C295" s="777" t="s">
        <v>330</v>
      </c>
      <c r="D295" s="512" t="str">
        <f>Translations!$B$641</f>
        <v>BioC:</v>
      </c>
      <c r="E295" s="513"/>
      <c r="F295" s="548"/>
      <c r="G295" s="1532" t="str">
        <f t="shared" si="56"/>
        <v/>
      </c>
      <c r="H295" s="1533"/>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0"/>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0"/>
      <c r="AC295" s="557" t="b">
        <f>AND(AC288,Y295&lt;&gt;EUconst_NA)</f>
        <v>0</v>
      </c>
      <c r="AD295" s="30"/>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0"/>
      <c r="AV295" s="567" t="b">
        <f t="shared" si="59"/>
        <v>0</v>
      </c>
      <c r="AW295" s="568" t="b">
        <f t="shared" si="60"/>
        <v>0</v>
      </c>
      <c r="AX295" s="30"/>
      <c r="AY295" s="594" t="b">
        <f t="shared" si="61"/>
        <v>0</v>
      </c>
      <c r="AZ295" s="531"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3" t="b">
        <f>OR(BZ288,Y295=EUconst_NA)</f>
        <v>1</v>
      </c>
    </row>
    <row r="296" spans="1:78" s="142" customFormat="1" ht="12.75" hidden="1" customHeight="1" thickBot="1">
      <c r="A296" s="808"/>
      <c r="B296" s="166"/>
      <c r="C296" s="777" t="s">
        <v>454</v>
      </c>
      <c r="D296" s="512" t="str">
        <f>Translations!$B$647</f>
        <v>Netvar. BioC:</v>
      </c>
      <c r="E296" s="513"/>
      <c r="F296" s="597"/>
      <c r="G296" s="1532" t="str">
        <f t="shared" si="56"/>
        <v/>
      </c>
      <c r="H296" s="1533"/>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0"/>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0"/>
      <c r="AC296" s="603" t="b">
        <f>AND(AC288,Y296&lt;&gt;EUconst_NA)</f>
        <v>0</v>
      </c>
      <c r="AD296" s="30"/>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0"/>
      <c r="AV296" s="613" t="b">
        <f t="shared" si="59"/>
        <v>0</v>
      </c>
      <c r="AW296" s="614" t="b">
        <f t="shared" si="60"/>
        <v>0</v>
      </c>
      <c r="AX296" s="30"/>
      <c r="AY296" s="579" t="b">
        <f t="shared" si="61"/>
        <v>0</v>
      </c>
      <c r="AZ296" s="580"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80" t="b">
        <f>OR(BZ288,Y296=EUconst_NA)</f>
        <v>1</v>
      </c>
    </row>
    <row r="297" spans="1:78" s="142" customFormat="1" ht="5.0999999999999996" hidden="1" customHeight="1">
      <c r="A297" s="808"/>
      <c r="B297" s="166"/>
      <c r="C297" s="166"/>
      <c r="D297" s="180"/>
      <c r="O297" s="733"/>
      <c r="P297" s="33"/>
      <c r="Q297" s="33"/>
      <c r="R297" s="33"/>
      <c r="S297" s="174"/>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hidden="1" customHeight="1">
      <c r="A298" s="808"/>
      <c r="B298" s="166"/>
      <c r="C298" s="166"/>
      <c r="D298" s="1558" t="str">
        <f>Translations!$B$674</f>
        <v>Pakopos galioja nuo:</v>
      </c>
      <c r="E298" s="1558"/>
      <c r="F298" s="1559"/>
      <c r="G298" s="1052"/>
      <c r="H298" s="615" t="str">
        <f>Translations!$B$675</f>
        <v>iki:</v>
      </c>
      <c r="I298" s="1052"/>
      <c r="J298" s="1536" t="str">
        <f>Translations!$B$676</f>
        <v>Atliekų katalogo numeris (jeigu taikytina):</v>
      </c>
      <c r="K298" s="1537"/>
      <c r="L298" s="1537"/>
      <c r="M298" s="1538"/>
      <c r="N298" s="1289"/>
      <c r="O298" s="733"/>
      <c r="P298" s="33"/>
      <c r="Q298" s="33"/>
      <c r="R298" s="33"/>
      <c r="S298" s="1290"/>
      <c r="T298" s="492"/>
      <c r="U298" s="492"/>
      <c r="V298" s="48" t="b">
        <f>IF(V288="",FALSE,INDEX(CNTR_IsWaste,MATCH(V288,MSParameters!$A$218:$A$376,0)))</f>
        <v>0</v>
      </c>
      <c r="W298" s="1290"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hidden="1" customHeight="1">
      <c r="A299" s="808"/>
      <c r="B299" s="166"/>
      <c r="C299" s="166"/>
      <c r="D299" s="615"/>
      <c r="E299" s="495"/>
      <c r="F299" s="495"/>
      <c r="G299" s="495"/>
      <c r="H299" s="495"/>
      <c r="I299" s="495"/>
      <c r="J299" s="495"/>
      <c r="K299" s="495"/>
      <c r="L299" s="495"/>
      <c r="M299" s="495"/>
      <c r="N299" s="495"/>
      <c r="O299" s="733"/>
      <c r="P299" s="33"/>
      <c r="Q299" s="33"/>
      <c r="R299" s="33"/>
      <c r="S299" s="174"/>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hidden="1" customHeight="1">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3"/>
      <c r="Q300" s="33"/>
      <c r="R300" s="33"/>
      <c r="S300" s="174"/>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hidden="1" customHeight="1">
      <c r="A301" s="815"/>
      <c r="D301" s="180"/>
      <c r="O301" s="573"/>
      <c r="P301" s="497"/>
      <c r="Q301" s="497"/>
      <c r="R301" s="497"/>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hidden="1">
      <c r="A302" s="815"/>
      <c r="D302" s="1534" t="str">
        <f>Translations!$B$160</f>
        <v>Pastabos:</v>
      </c>
      <c r="E302" s="1535"/>
      <c r="F302" s="1539"/>
      <c r="G302" s="1540"/>
      <c r="H302" s="1540"/>
      <c r="I302" s="1540"/>
      <c r="J302" s="1540"/>
      <c r="K302" s="1540"/>
      <c r="L302" s="1540"/>
      <c r="M302" s="1540"/>
      <c r="N302" s="1541"/>
      <c r="O302" s="573"/>
      <c r="P302" s="497"/>
      <c r="Q302" s="497"/>
      <c r="R302" s="497"/>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c r="A303" s="808"/>
      <c r="B303" s="495"/>
      <c r="C303" s="499"/>
      <c r="D303" s="500"/>
      <c r="E303" s="501"/>
      <c r="F303" s="499"/>
      <c r="G303" s="502"/>
      <c r="H303" s="502"/>
      <c r="I303" s="502"/>
      <c r="J303" s="502"/>
      <c r="K303" s="502"/>
      <c r="L303" s="502"/>
      <c r="M303" s="502"/>
      <c r="N303" s="502"/>
      <c r="O303" s="740"/>
      <c r="P303" s="494"/>
      <c r="Q303" s="494"/>
      <c r="R303" s="494"/>
      <c r="S303" s="58"/>
      <c r="T303" s="58"/>
      <c r="U303" s="498"/>
      <c r="V303" s="58"/>
      <c r="W303" s="58"/>
      <c r="X303" s="49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c r="A304" s="813"/>
      <c r="B304" s="495"/>
      <c r="C304" s="495"/>
      <c r="D304" s="180"/>
      <c r="E304" s="496"/>
      <c r="F304" s="495"/>
      <c r="G304" s="487"/>
      <c r="H304" s="487"/>
      <c r="I304" s="487"/>
      <c r="J304" s="487"/>
      <c r="K304" s="495"/>
      <c r="L304" s="487"/>
      <c r="M304" s="487"/>
      <c r="N304" s="487"/>
      <c r="O304" s="740"/>
      <c r="P304" s="494"/>
      <c r="Q304" s="494"/>
      <c r="R304" s="494"/>
      <c r="S304" s="23"/>
      <c r="T304" s="27" t="str">
        <f>IF(ISBLANK(E305),"",MATCH(E305,CNTR_SourceStreamNames,0))</f>
        <v/>
      </c>
      <c r="U304" s="618"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1"/>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3" t="s">
        <v>262</v>
      </c>
    </row>
    <row r="305" spans="1:78" s="142" customFormat="1" ht="15" hidden="1" customHeight="1" thickBot="1">
      <c r="A305" s="869" t="str">
        <f>IF(E305="","","PRINT")</f>
        <v/>
      </c>
      <c r="B305" s="166"/>
      <c r="C305" s="617">
        <f>C278+1</f>
        <v>10</v>
      </c>
      <c r="D305" s="166"/>
      <c r="E305" s="1542"/>
      <c r="F305" s="1543"/>
      <c r="G305" s="1543"/>
      <c r="H305" s="1543"/>
      <c r="I305" s="1543"/>
      <c r="J305" s="1544"/>
      <c r="K305" s="1545" t="str">
        <f>IF(E306="","",INDEX(EUwideConstants!$F$353:$F$394,MATCH(E306,EUConst_TierActivityListNames,0)))</f>
        <v/>
      </c>
      <c r="L305" s="1546"/>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3"/>
      <c r="T305" s="509" t="s">
        <v>393</v>
      </c>
      <c r="U305" s="23"/>
      <c r="V305" s="78"/>
      <c r="W305" s="56"/>
      <c r="X305" s="58"/>
      <c r="Y305" s="58"/>
      <c r="Z305" s="58"/>
      <c r="AA305" s="58"/>
      <c r="AB305" s="58"/>
      <c r="AC305" s="58"/>
      <c r="AD305" s="58"/>
      <c r="AE305" s="58"/>
      <c r="AF305" s="58"/>
      <c r="AG305" s="58"/>
      <c r="AH305" s="58"/>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6"/>
      <c r="BZ305" s="619" t="b">
        <f>CNTR_CalcRelevant=EUconst_NotRelevant</f>
        <v>0</v>
      </c>
    </row>
    <row r="306" spans="1:78" s="142" customFormat="1" ht="15" hidden="1" customHeight="1" thickBot="1">
      <c r="A306" s="808"/>
      <c r="B306" s="166"/>
      <c r="C306" s="166"/>
      <c r="D306" s="166"/>
      <c r="E306" s="1547" t="str">
        <f>IF(ISBLANK(E305),"",IF(INDEX(B_InstallationDescription!$E$71:$E$145,MATCH(U304,B_InstallationDescription!$D$71:$D$145,0))&gt;0,INDEX(B_InstallationDescription!$E$71:$E$145,MATCH(U304,B_InstallationDescription!$D$71:$D$145,0)),""))</f>
        <v/>
      </c>
      <c r="F306" s="1548"/>
      <c r="G306" s="1548"/>
      <c r="H306" s="1548"/>
      <c r="I306" s="1548"/>
      <c r="J306" s="1549"/>
      <c r="M306" s="346" t="str">
        <f>Translations!$B$666</f>
        <v>CO2, biomasės kilmės.:</v>
      </c>
      <c r="N306" s="1051" t="str">
        <f>IF(OR(K305="",T306=TRUE),"",INDEX(BC318:BE318,MATCH(K305,BC315:BE315,0)))</f>
        <v/>
      </c>
      <c r="O306" s="742" t="s">
        <v>260</v>
      </c>
      <c r="P306" s="494"/>
      <c r="Q306" s="352" t="str">
        <f>EUconst_SumBioCO2 &amp; "_" &amp; K305</f>
        <v>SUM_bioCO2_</v>
      </c>
      <c r="R306" s="494"/>
      <c r="S306" s="23"/>
      <c r="T306" s="48" t="str">
        <f>IF(E306="","",MATCH(E306,EUConst_TierActivityListNames,0)&gt;40)</f>
        <v/>
      </c>
      <c r="U306" s="23"/>
      <c r="V306" s="78"/>
      <c r="W306" s="56"/>
      <c r="X306" s="58"/>
      <c r="Y306" s="27" t="s">
        <v>93</v>
      </c>
      <c r="Z306" s="30"/>
      <c r="AA306" s="30"/>
      <c r="AB306" s="30"/>
      <c r="AC306" s="30"/>
      <c r="AD306" s="30"/>
      <c r="AE306" s="27" t="s">
        <v>302</v>
      </c>
      <c r="AF306" s="58"/>
      <c r="AG306" s="504"/>
      <c r="AH306" s="30"/>
      <c r="AI306" s="30"/>
      <c r="AJ306" s="504"/>
      <c r="AK306" s="504"/>
      <c r="AL306" s="342"/>
      <c r="AM306" s="27" t="s">
        <v>308</v>
      </c>
      <c r="AN306" s="505"/>
      <c r="AO306" s="505"/>
      <c r="AP306" s="30"/>
      <c r="AQ306" s="30"/>
      <c r="AR306" s="30"/>
      <c r="AS306" s="30"/>
      <c r="AT306" s="30"/>
      <c r="AU306" s="30"/>
      <c r="AV306" s="27" t="s">
        <v>315</v>
      </c>
      <c r="AW306" s="30"/>
      <c r="AX306" s="492"/>
      <c r="AY306" s="30"/>
      <c r="AZ306" s="30"/>
      <c r="BA306" s="30"/>
      <c r="BB306" s="27" t="s">
        <v>219</v>
      </c>
      <c r="BC306" s="30"/>
      <c r="BD306" s="30"/>
      <c r="BE306" s="30"/>
      <c r="BF306" s="30"/>
      <c r="BG306" s="27"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0"/>
      <c r="BZ306" s="30"/>
    </row>
    <row r="307" spans="1:78" s="142" customFormat="1" ht="5.0999999999999996" hidden="1" customHeight="1">
      <c r="A307" s="808"/>
      <c r="B307" s="166"/>
      <c r="C307" s="166"/>
      <c r="D307" s="166"/>
      <c r="E307" s="166"/>
      <c r="F307" s="166"/>
      <c r="G307" s="166"/>
      <c r="M307" s="143"/>
      <c r="N307" s="143"/>
      <c r="O307" s="733"/>
      <c r="P307" s="33"/>
      <c r="Q307" s="33"/>
      <c r="R307" s="33"/>
      <c r="S307" s="23"/>
      <c r="T307" s="23"/>
      <c r="U307" s="23"/>
      <c r="V307" s="78"/>
      <c r="W307" s="30"/>
      <c r="X307" s="30"/>
      <c r="Y307" s="494"/>
      <c r="Z307" s="30"/>
      <c r="AA307" s="30"/>
      <c r="AB307" s="30"/>
      <c r="AC307" s="30"/>
      <c r="AD307" s="30"/>
      <c r="AE307" s="30"/>
      <c r="AF307" s="58"/>
      <c r="AG307" s="30"/>
      <c r="AH307" s="30"/>
      <c r="AI307" s="30"/>
      <c r="AJ307" s="504"/>
      <c r="AK307" s="504"/>
      <c r="AL307" s="342"/>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hidden="1" customHeight="1" thickBot="1">
      <c r="A308" s="808"/>
      <c r="B308" s="166"/>
      <c r="C308" s="166"/>
      <c r="D308" s="166"/>
      <c r="E308" s="1550" t="str">
        <f>IF(E305="","",IF(T306=TRUE,HYPERLINK("#JUMP_14",EUconst_MsgGoOnPFC),HYPERLINK("#JUMP_E_8",EUconst_FurtherGuidancePoint1)))</f>
        <v/>
      </c>
      <c r="F308" s="1550"/>
      <c r="G308" s="1550"/>
      <c r="H308" s="1550"/>
      <c r="I308" s="1550"/>
      <c r="J308" s="1550"/>
      <c r="K308" s="1550"/>
      <c r="L308" s="1550"/>
      <c r="M308" s="1550"/>
      <c r="N308" s="143"/>
      <c r="O308" s="733"/>
      <c r="P308" s="33"/>
      <c r="Q308" s="352" t="str">
        <f>EUconst_SumNonSustBioCO2 &amp; "_" &amp; K305</f>
        <v>SUM_bioNonSustCO2_</v>
      </c>
      <c r="R308" s="707"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4"/>
      <c r="AK308" s="504"/>
      <c r="AL308" s="342"/>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hidden="1" customHeight="1">
      <c r="A309" s="808"/>
      <c r="B309" s="166"/>
      <c r="C309" s="166"/>
      <c r="D309" s="166"/>
      <c r="E309" s="166"/>
      <c r="F309" s="166"/>
      <c r="G309" s="166"/>
      <c r="M309" s="143"/>
      <c r="N309" s="143"/>
      <c r="O309" s="733"/>
      <c r="P309" s="23"/>
      <c r="Q309" s="23"/>
      <c r="R309" s="23"/>
      <c r="S309" s="23"/>
      <c r="T309" s="23"/>
      <c r="U309" s="23"/>
      <c r="V309" s="30"/>
      <c r="W309" s="30"/>
      <c r="X309" s="30"/>
      <c r="Y309" s="494"/>
      <c r="Z309" s="30"/>
      <c r="AA309" s="30"/>
      <c r="AB309" s="30"/>
      <c r="AC309" s="30"/>
      <c r="AD309" s="30"/>
      <c r="AE309" s="30"/>
      <c r="AF309" s="58"/>
      <c r="AG309" s="30"/>
      <c r="AH309" s="30"/>
      <c r="AI309" s="30"/>
      <c r="AJ309" s="504"/>
      <c r="AK309" s="504"/>
      <c r="AL309" s="342"/>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hidden="1" customHeight="1" thickBot="1">
      <c r="A310" s="808"/>
      <c r="B310" s="166"/>
      <c r="C310" s="814" t="s">
        <v>4</v>
      </c>
      <c r="D310" s="512" t="str">
        <f>Translations!$B$622</f>
        <v>VD:</v>
      </c>
      <c r="E310" s="1560" t="str">
        <f>Translations!$B$667</f>
        <v>Ar veiklos duomenys gaunami sudedant išmatuotus kiekius (t. y. ne atliekant nuolatinius matavimus)?</v>
      </c>
      <c r="F310" s="1560"/>
      <c r="G310" s="1560"/>
      <c r="H310" s="1560"/>
      <c r="I310" s="1560"/>
      <c r="J310" s="1560"/>
      <c r="K310" s="1560"/>
      <c r="L310" s="1179"/>
      <c r="M310" s="507"/>
      <c r="O310" s="733"/>
      <c r="P310" s="23"/>
      <c r="Q310" s="23"/>
      <c r="R310" s="23"/>
      <c r="S310" s="23"/>
      <c r="T310" s="23"/>
      <c r="U310" s="23"/>
      <c r="V310" s="30"/>
      <c r="W310" s="30"/>
      <c r="X310" s="30"/>
      <c r="Y310" s="494"/>
      <c r="Z310" s="30"/>
      <c r="AA310" s="30"/>
      <c r="AB310" s="30"/>
      <c r="AC310" s="1172" t="b">
        <f>AND(E305&lt;&gt;"",T306&lt;&gt;TRUE)</f>
        <v>0</v>
      </c>
      <c r="AD310" s="30"/>
      <c r="AE310" s="30"/>
      <c r="AF310" s="58"/>
      <c r="AG310" s="30"/>
      <c r="AH310" s="30"/>
      <c r="AI310" s="30"/>
      <c r="AJ310" s="504"/>
      <c r="AK310" s="504"/>
      <c r="AL310" s="342"/>
      <c r="AM310" s="30"/>
      <c r="AN310" s="30"/>
      <c r="AO310" s="30"/>
      <c r="AP310" s="30"/>
      <c r="AQ310" s="30"/>
      <c r="AR310" s="30"/>
      <c r="AS310" s="30"/>
      <c r="AT310" s="1172"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2" t="b">
        <f>OR(CNTR_CalcRelevant=EUconst_NotRelevant,AND(COUNTA(CNTR_ListRelevantSections)&gt;0,OR(T306=TRUE,E305="")))</f>
        <v>1</v>
      </c>
    </row>
    <row r="311" spans="1:78" s="142" customFormat="1" ht="5.0999999999999996" hidden="1" customHeight="1">
      <c r="A311" s="808"/>
      <c r="B311" s="166"/>
      <c r="C311" s="166"/>
      <c r="D311" s="166"/>
      <c r="E311" s="166"/>
      <c r="F311" s="166"/>
      <c r="G311" s="166"/>
      <c r="H311" s="495"/>
      <c r="I311" s="495"/>
      <c r="J311" s="495"/>
      <c r="K311" s="495"/>
      <c r="L311" s="495"/>
      <c r="M311" s="507"/>
      <c r="O311" s="733"/>
      <c r="P311" s="23"/>
      <c r="Q311" s="23"/>
      <c r="R311" s="23"/>
      <c r="S311" s="23"/>
      <c r="T311" s="23"/>
      <c r="U311" s="23"/>
      <c r="V311" s="30"/>
      <c r="W311" s="30"/>
      <c r="X311" s="30"/>
      <c r="Y311" s="494"/>
      <c r="Z311" s="30"/>
      <c r="AA311" s="30"/>
      <c r="AB311" s="30"/>
      <c r="AC311" s="492"/>
      <c r="AD311" s="30"/>
      <c r="AE311" s="30"/>
      <c r="AF311" s="58"/>
      <c r="AG311" s="30"/>
      <c r="AH311" s="30"/>
      <c r="AI311" s="30"/>
      <c r="AJ311" s="504"/>
      <c r="AK311" s="504"/>
      <c r="AL311" s="342"/>
      <c r="AM311" s="30"/>
      <c r="AN311" s="30"/>
      <c r="AO311" s="30"/>
      <c r="AP311" s="30"/>
      <c r="AQ311" s="30"/>
      <c r="AR311" s="30"/>
      <c r="AS311" s="30"/>
      <c r="AT311" s="492"/>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2"/>
    </row>
    <row r="312" spans="1:78" s="142" customFormat="1" ht="12.75" hidden="1" customHeight="1" thickBot="1">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3"/>
      <c r="Q312" s="23"/>
      <c r="R312" s="23"/>
      <c r="S312" s="23"/>
      <c r="T312" s="23"/>
      <c r="U312" s="23"/>
      <c r="V312" s="30"/>
      <c r="W312" s="30"/>
      <c r="X312" s="30"/>
      <c r="Y312" s="494"/>
      <c r="Z312" s="30"/>
      <c r="AA312" s="30"/>
      <c r="AB312" s="30"/>
      <c r="AC312" s="1172" t="b">
        <f>AC310</f>
        <v>0</v>
      </c>
      <c r="AD312" s="30"/>
      <c r="AE312" s="30"/>
      <c r="AF312" s="58"/>
      <c r="AG312" s="30"/>
      <c r="AH312" s="30"/>
      <c r="AI312" s="30"/>
      <c r="AJ312" s="504"/>
      <c r="AK312" s="504"/>
      <c r="AL312" s="342"/>
      <c r="AM312" s="30"/>
      <c r="AN312" s="30"/>
      <c r="AO312" s="30"/>
      <c r="AP312" s="30"/>
      <c r="AQ312" s="30"/>
      <c r="AR312" s="30"/>
      <c r="AS312" s="30"/>
      <c r="AT312" s="1172"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2" t="b">
        <f>OR(BZ310,AND(NOT(ISBLANK(L310)),L310=FALSE))</f>
        <v>1</v>
      </c>
    </row>
    <row r="313" spans="1:78" s="142" customFormat="1" ht="5.0999999999999996" hidden="1" customHeight="1">
      <c r="A313" s="808"/>
      <c r="B313" s="166"/>
      <c r="C313" s="166"/>
      <c r="D313" s="166"/>
      <c r="E313" s="166"/>
      <c r="F313" s="166"/>
      <c r="G313" s="166"/>
      <c r="M313" s="143"/>
      <c r="N313" s="143"/>
      <c r="O313" s="733"/>
      <c r="P313" s="23"/>
      <c r="Q313" s="23"/>
      <c r="R313" s="23"/>
      <c r="S313" s="23"/>
      <c r="T313" s="23"/>
      <c r="U313" s="23"/>
      <c r="V313" s="30"/>
      <c r="W313" s="30"/>
      <c r="X313" s="30"/>
      <c r="Y313" s="494"/>
      <c r="Z313" s="30"/>
      <c r="AA313" s="30"/>
      <c r="AB313" s="30"/>
      <c r="AC313" s="30"/>
      <c r="AD313" s="30"/>
      <c r="AE313" s="30"/>
      <c r="AF313" s="58"/>
      <c r="AG313" s="30"/>
      <c r="AH313" s="30"/>
      <c r="AI313" s="30"/>
      <c r="AJ313" s="504"/>
      <c r="AK313" s="504"/>
      <c r="AL313" s="342"/>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 hidden="1" customHeight="1" thickBot="1">
      <c r="A314" s="808"/>
      <c r="B314" s="166"/>
      <c r="C314" s="166"/>
      <c r="D314" s="166"/>
      <c r="E314" s="166"/>
      <c r="F314" s="506" t="str">
        <f>Translations!$B$333</f>
        <v>Pakopa</v>
      </c>
      <c r="G314" s="1557" t="str">
        <f>Translations!$B$672</f>
        <v>pakopos aprašas</v>
      </c>
      <c r="H314" s="1557"/>
      <c r="I314" s="1555" t="str">
        <f>Translations!$B$158</f>
        <v>Vienetas</v>
      </c>
      <c r="J314" s="1555"/>
      <c r="K314" s="1555" t="str">
        <f>Translations!$B$673</f>
        <v>Vertė</v>
      </c>
      <c r="L314" s="1555"/>
      <c r="M314" s="507" t="str">
        <f>Translations!$B$610</f>
        <v>klaida</v>
      </c>
      <c r="O314" s="733"/>
      <c r="P314" s="508"/>
      <c r="Q314" s="352" t="str">
        <f>EUconst_SumEnergyIN &amp; "_" &amp; K305</f>
        <v>SUM_EnergyIN_</v>
      </c>
      <c r="R314" s="399" t="str">
        <f>IF(OR(K305="",T306)=TRUE,"",INDEX(BC320:BE320,MATCH(K305,BC315:BE315,0)))</f>
        <v/>
      </c>
      <c r="S314" s="30"/>
      <c r="T314" s="489"/>
      <c r="U314" s="30"/>
      <c r="V314" s="509" t="s">
        <v>303</v>
      </c>
      <c r="W314" s="30"/>
      <c r="X314" s="30"/>
      <c r="Y314" s="494" t="s">
        <v>566</v>
      </c>
      <c r="Z314" s="494" t="s">
        <v>318</v>
      </c>
      <c r="AA314" s="30"/>
      <c r="AB314" s="30"/>
      <c r="AC314" s="505" t="s">
        <v>309</v>
      </c>
      <c r="AD314" s="30"/>
      <c r="AE314" s="30"/>
      <c r="AF314" s="492" t="s">
        <v>305</v>
      </c>
      <c r="AG314" s="492" t="s">
        <v>306</v>
      </c>
      <c r="AH314" s="494" t="s">
        <v>304</v>
      </c>
      <c r="AI314" s="504" t="s">
        <v>307</v>
      </c>
      <c r="AJ314" s="504" t="s">
        <v>567</v>
      </c>
      <c r="AK314" s="510" t="s">
        <v>311</v>
      </c>
      <c r="AL314" s="342"/>
      <c r="AM314" s="30"/>
      <c r="AN314" s="492" t="s">
        <v>305</v>
      </c>
      <c r="AO314" s="492" t="s">
        <v>306</v>
      </c>
      <c r="AP314" s="511" t="s">
        <v>310</v>
      </c>
      <c r="AQ314" s="504" t="s">
        <v>569</v>
      </c>
      <c r="AR314" s="504" t="s">
        <v>568</v>
      </c>
      <c r="AS314" s="510" t="s">
        <v>311</v>
      </c>
      <c r="AT314" s="510" t="s">
        <v>311</v>
      </c>
      <c r="AU314" s="30"/>
      <c r="AV314" s="492"/>
      <c r="AW314" s="492"/>
      <c r="AX314" s="492" t="s">
        <v>321</v>
      </c>
      <c r="AY314" s="492"/>
      <c r="AZ314" s="492"/>
      <c r="BA314" s="492"/>
      <c r="BB314" s="492"/>
      <c r="BC314" s="492"/>
      <c r="BD314" s="492"/>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3" t="s">
        <v>262</v>
      </c>
    </row>
    <row r="315" spans="1:78" s="142" customFormat="1" ht="12.75" hidden="1" customHeight="1" thickBot="1">
      <c r="A315" s="808"/>
      <c r="B315" s="166"/>
      <c r="C315" s="777" t="s">
        <v>196</v>
      </c>
      <c r="D315" s="512" t="str">
        <f>Translations!$B$622</f>
        <v>VD:</v>
      </c>
      <c r="E315" s="513"/>
      <c r="F315" s="402"/>
      <c r="G315" s="1532" t="str">
        <f>IF(OR(ISBLANK(F315),F315=EUconst_NoTier),"",IF(Z315=0,EUconst_NA,IF(ISERROR(Z315),"",Z315)))</f>
        <v/>
      </c>
      <c r="H315" s="1533"/>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0"/>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0"/>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0"/>
      <c r="AV315" s="492" t="s">
        <v>314</v>
      </c>
      <c r="AW315" s="492" t="s">
        <v>319</v>
      </c>
      <c r="AX315" s="524"/>
      <c r="AY315" s="30" t="s">
        <v>542</v>
      </c>
      <c r="AZ315" s="30"/>
      <c r="BA315" s="30"/>
      <c r="BB315" s="504"/>
      <c r="BC315" s="493" t="str">
        <f>EUconst_Fuel</f>
        <v>Degimas</v>
      </c>
      <c r="BD315" s="493" t="str">
        <f>EUconst_ProcessCarbonate</f>
        <v>Proceso metu išsiskiriančios ŠESD</v>
      </c>
      <c r="BE315" s="493"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4" t="b">
        <f>BZ310</f>
        <v>1</v>
      </c>
    </row>
    <row r="316" spans="1:78" s="142" customFormat="1" ht="4.5" hidden="1" customHeight="1">
      <c r="A316" s="808"/>
      <c r="B316" s="166"/>
      <c r="C316" s="814"/>
      <c r="D316" s="306"/>
      <c r="F316" s="143"/>
      <c r="G316" s="143"/>
      <c r="H316" s="143" t="s">
        <v>236</v>
      </c>
      <c r="I316" s="525"/>
      <c r="J316" s="525"/>
      <c r="K316" s="143"/>
      <c r="L316" s="143"/>
      <c r="M316" s="710"/>
      <c r="O316" s="733"/>
      <c r="P316" s="33"/>
      <c r="Q316" s="33"/>
      <c r="R316" s="33"/>
      <c r="S316" s="30"/>
      <c r="T316" s="155"/>
      <c r="U316" s="497"/>
      <c r="V316" s="30"/>
      <c r="W316" s="30"/>
      <c r="X316" s="497"/>
      <c r="Y316" s="526"/>
      <c r="Z316" s="30"/>
      <c r="AA316" s="30"/>
      <c r="AB316" s="30"/>
      <c r="AC316" s="30"/>
      <c r="AD316" s="30"/>
      <c r="AE316" s="30"/>
      <c r="AF316" s="30"/>
      <c r="AG316" s="30"/>
      <c r="AH316" s="30"/>
      <c r="AI316" s="30"/>
      <c r="AJ316" s="30"/>
      <c r="AK316" s="30"/>
      <c r="AL316" s="342"/>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3"/>
    </row>
    <row r="317" spans="1:78" s="142" customFormat="1" ht="12.75" hidden="1" customHeight="1" thickBot="1">
      <c r="A317" s="808"/>
      <c r="B317" s="166"/>
      <c r="C317" s="814" t="s">
        <v>197</v>
      </c>
      <c r="D317" s="512" t="str">
        <f>Translations!$B$634</f>
        <v>(prelim.) ITF:</v>
      </c>
      <c r="E317" s="513"/>
      <c r="F317" s="527"/>
      <c r="G317" s="1532" t="str">
        <f t="shared" ref="G317:G323" si="63">IF(OR(ISBLANK(F317),F317=EUconst_NoTier),"",IF(Z317=0,EUconst_NotApplicable,IF(ISERROR(Z317),"",Z317)))</f>
        <v/>
      </c>
      <c r="H317" s="1556"/>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3"/>
      <c r="Q317" s="33"/>
      <c r="R317" s="33"/>
      <c r="S317" s="30"/>
      <c r="T317" s="530" t="str">
        <f>EUconst_CNTR_EF&amp;E306</f>
        <v>EF_</v>
      </c>
      <c r="U317" s="497"/>
      <c r="V317" s="531" t="str">
        <f>V315</f>
        <v/>
      </c>
      <c r="W317" s="30"/>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0"/>
      <c r="AC317" s="535" t="b">
        <f>AND(AC315,Y317&lt;&gt;EUconst_NA)</f>
        <v>0</v>
      </c>
      <c r="AD317" s="30"/>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0"/>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0"/>
      <c r="BA317" s="30"/>
      <c r="BB317" s="547" t="s">
        <v>594</v>
      </c>
      <c r="BC317" s="546" t="str">
        <f>IF(K305=BC315,AR315*IF(AJ317=EUconst_tCO2pTJ,(AR318/1000),1)*AR317*AR319*AR323,"")</f>
        <v/>
      </c>
      <c r="BD317" s="524" t="str">
        <f>IF(K305=BD315,AR315*AR317*AR320*AR323,"")</f>
        <v/>
      </c>
      <c r="BE317" s="523"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1" t="b">
        <f>OR(BZ315,Y317=EUconst_NA)</f>
        <v>1</v>
      </c>
    </row>
    <row r="318" spans="1:78" s="142" customFormat="1" ht="12.75" hidden="1" customHeight="1" thickBot="1">
      <c r="A318" s="808"/>
      <c r="B318" s="166"/>
      <c r="C318" s="814" t="s">
        <v>198</v>
      </c>
      <c r="D318" s="512" t="str">
        <f>Translations!$B$636</f>
        <v>GŠV:</v>
      </c>
      <c r="E318" s="513"/>
      <c r="F318" s="548"/>
      <c r="G318" s="1532" t="str">
        <f t="shared" si="63"/>
        <v/>
      </c>
      <c r="H318" s="1533"/>
      <c r="I318" s="1169" t="str">
        <f>AJ318</f>
        <v/>
      </c>
      <c r="J318" s="549"/>
      <c r="K318" s="550" t="str">
        <f t="shared" si="64"/>
        <v/>
      </c>
      <c r="L318" s="551"/>
      <c r="M318" s="709" t="str">
        <f>IF(AND(E306&lt;&gt;"",OR(F318="",COUNT(K318:L318)=0),Y318&lt;&gt;EUconst_NA,T306&lt;&gt;TRUE),EUconst_ERR_Incomplete,IF(COUNTIF(AX318:AZ318,TRUE)&gt;0,EUconst_ERR_Inconsistent,""))</f>
        <v/>
      </c>
      <c r="O318" s="733"/>
      <c r="P318" s="33"/>
      <c r="Q318" s="33"/>
      <c r="R318" s="33"/>
      <c r="S318" s="30"/>
      <c r="T318" s="552" t="str">
        <f>EUconst_CNTR_NCV&amp;E306</f>
        <v>NCV_</v>
      </c>
      <c r="U318" s="497"/>
      <c r="V318" s="553" t="str">
        <f t="shared" ref="V318:V323" si="69">V317</f>
        <v/>
      </c>
      <c r="W318" s="30"/>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0"/>
      <c r="AC318" s="557" t="b">
        <f>AND(AC315,Y318&lt;&gt;EUconst_NA)</f>
        <v>0</v>
      </c>
      <c r="AD318" s="30"/>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0"/>
      <c r="AV318" s="567" t="b">
        <f t="shared" si="66"/>
        <v>0</v>
      </c>
      <c r="AW318" s="568" t="b">
        <f t="shared" si="67"/>
        <v>0</v>
      </c>
      <c r="AX318" s="30"/>
      <c r="AY318" s="553" t="b">
        <f t="shared" si="68"/>
        <v>0</v>
      </c>
      <c r="AZ318" s="30"/>
      <c r="BA318" s="30"/>
      <c r="BB318" s="547" t="s">
        <v>595</v>
      </c>
      <c r="BC318" s="546" t="str">
        <f>IF(K305=BC315,AR315*IF(AJ317=EUconst_tCO2pTJ,(AR318/1000),1)*AR317*AR319*AR322,"")</f>
        <v/>
      </c>
      <c r="BD318" s="524" t="str">
        <f>IF(K305=BD315,AR315*AR317*AR320*AR322,"")</f>
        <v/>
      </c>
      <c r="BE318" s="523"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3" t="b">
        <f>OR(BZ315,Y318=EUconst_NA)</f>
        <v>1</v>
      </c>
    </row>
    <row r="319" spans="1:78" s="142" customFormat="1" ht="12.75" hidden="1" customHeight="1" thickBot="1">
      <c r="A319" s="808"/>
      <c r="B319" s="166"/>
      <c r="C319" s="814" t="s">
        <v>199</v>
      </c>
      <c r="D319" s="512" t="str">
        <f>Translations!$B$638</f>
        <v>OksK:</v>
      </c>
      <c r="E319" s="513"/>
      <c r="F319" s="548"/>
      <c r="G319" s="1532" t="str">
        <f t="shared" si="63"/>
        <v/>
      </c>
      <c r="H319" s="1533"/>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3"/>
      <c r="Q319" s="33"/>
      <c r="R319" s="33"/>
      <c r="S319" s="30"/>
      <c r="T319" s="552" t="str">
        <f>EUconst_CNTR_OxidationFactor&amp;E306</f>
        <v>OxF_</v>
      </c>
      <c r="U319" s="497"/>
      <c r="V319" s="553" t="str">
        <f t="shared" si="69"/>
        <v/>
      </c>
      <c r="W319" s="30"/>
      <c r="X319" s="497"/>
      <c r="Y319" s="554" t="str">
        <f>IF(OR(T306=TRUE,E306=""),"",INDEX(EUwideConstants!$N:$N,MATCH(T319,EUwideConstants!$Q:$Q,0)))</f>
        <v/>
      </c>
      <c r="Z319" s="555" t="str">
        <f>IF(ISBLANK(F319),"",IF(F319=EUconst_NA,"",INDEX(EUwideConstants!$H:$M,MATCH(T319,EUwideConstants!$Q:$Q,0),MATCH(F319,CNTR_TierList,0))))</f>
        <v/>
      </c>
      <c r="AA319" s="534" t="str">
        <f>IF(F319=1,1,"")</f>
        <v/>
      </c>
      <c r="AB319" s="30"/>
      <c r="AC319" s="557" t="b">
        <f>AND(AC315,Y319&lt;&gt;EUconst_NA)</f>
        <v>0</v>
      </c>
      <c r="AD319" s="30"/>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0"/>
      <c r="AV319" s="567" t="b">
        <f t="shared" si="66"/>
        <v>0</v>
      </c>
      <c r="AW319" s="568" t="b">
        <f t="shared" si="67"/>
        <v>0</v>
      </c>
      <c r="AX319" s="30"/>
      <c r="AY319" s="594" t="b">
        <f t="shared" si="68"/>
        <v>0</v>
      </c>
      <c r="AZ319" s="531" t="b">
        <f>AR319&gt;100%</f>
        <v>0</v>
      </c>
      <c r="BA319" s="30"/>
      <c r="BB319" s="547" t="s">
        <v>290</v>
      </c>
      <c r="BC319" s="546" t="str">
        <f>IF(K305=BC315,AR315*IF(AJ317=EUconst_tCO2pTJ,(AR318/1000),1)*AR317*AR319*(1-AR322),"")</f>
        <v/>
      </c>
      <c r="BD319" s="524" t="str">
        <f>IF(K305=BD315,AR315*AR317*AR320*(1-AR322),"")</f>
        <v/>
      </c>
      <c r="BE319" s="523"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3" t="b">
        <f>OR(BZ315,Y319=EUconst_NA)</f>
        <v>1</v>
      </c>
    </row>
    <row r="320" spans="1:78" s="142" customFormat="1" ht="12.75" hidden="1" customHeight="1" thickBot="1">
      <c r="A320" s="808"/>
      <c r="B320" s="166"/>
      <c r="C320" s="814" t="s">
        <v>200</v>
      </c>
      <c r="D320" s="512" t="str">
        <f>Translations!$B$639</f>
        <v>KonvK:</v>
      </c>
      <c r="E320" s="513"/>
      <c r="F320" s="548"/>
      <c r="G320" s="1532" t="str">
        <f t="shared" si="63"/>
        <v/>
      </c>
      <c r="H320" s="1533"/>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3"/>
      <c r="Q320" s="33"/>
      <c r="R320" s="33"/>
      <c r="S320" s="30"/>
      <c r="T320" s="552" t="str">
        <f>EUconst_CNTR_ConversionFactor&amp;E306</f>
        <v>ConvF_</v>
      </c>
      <c r="U320" s="497"/>
      <c r="V320" s="553" t="str">
        <f t="shared" si="69"/>
        <v/>
      </c>
      <c r="W320" s="30"/>
      <c r="X320" s="497"/>
      <c r="Y320" s="554" t="str">
        <f>IF(OR(T306=TRUE,E306=""),"",INDEX(EUwideConstants!$N:$N,MATCH(T320,EUwideConstants!$Q:$Q,0)))</f>
        <v/>
      </c>
      <c r="Z320" s="555" t="str">
        <f>IF(ISBLANK(F320),"",IF(F320=EUconst_NA,"",INDEX(EUwideConstants!$H:$M,MATCH(T320,EUwideConstants!$Q:$Q,0),MATCH(F320,CNTR_TierList,0))))</f>
        <v/>
      </c>
      <c r="AA320" s="582" t="str">
        <f>IF(F320=1,1,"")</f>
        <v/>
      </c>
      <c r="AB320" s="30"/>
      <c r="AC320" s="557" t="b">
        <f>AND(AC315,Y320&lt;&gt;EUconst_NA)</f>
        <v>0</v>
      </c>
      <c r="AD320" s="30"/>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0"/>
      <c r="AV320" s="567" t="b">
        <f t="shared" si="66"/>
        <v>0</v>
      </c>
      <c r="AW320" s="568" t="b">
        <f t="shared" si="67"/>
        <v>0</v>
      </c>
      <c r="AX320" s="30"/>
      <c r="AY320" s="594" t="b">
        <f t="shared" si="68"/>
        <v>0</v>
      </c>
      <c r="AZ320" s="580" t="b">
        <f>AR320&gt;100%</f>
        <v>0</v>
      </c>
      <c r="BA320" s="30"/>
      <c r="BB320" s="578" t="s">
        <v>487</v>
      </c>
      <c r="BC320" s="579">
        <f>AR315*AR318/1000*(1-AR322)</f>
        <v>0</v>
      </c>
      <c r="BD320" s="580">
        <f>BC320</f>
        <v>0</v>
      </c>
      <c r="BE320" s="581">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3" t="b">
        <f>OR(BZ315,Y320=EUconst_NA)</f>
        <v>1</v>
      </c>
    </row>
    <row r="321" spans="1:78" s="142" customFormat="1" ht="12.75" hidden="1" customHeight="1" thickBot="1">
      <c r="A321" s="808"/>
      <c r="B321" s="166"/>
      <c r="C321" s="814" t="s">
        <v>329</v>
      </c>
      <c r="D321" s="512" t="str">
        <f>Translations!$B$640</f>
        <v>AnglK:</v>
      </c>
      <c r="E321" s="513"/>
      <c r="F321" s="548"/>
      <c r="G321" s="1532" t="str">
        <f t="shared" si="63"/>
        <v/>
      </c>
      <c r="H321" s="1533"/>
      <c r="I321" s="1170" t="str">
        <f>AJ321</f>
        <v/>
      </c>
      <c r="J321" s="586"/>
      <c r="K321" s="587" t="str">
        <f t="shared" si="64"/>
        <v/>
      </c>
      <c r="L321" s="588"/>
      <c r="M321" s="709" t="str">
        <f>IF(AND(E306&lt;&gt;"",OR(F321="",COUNT(K321:L321)=0),Y321&lt;&gt;EUconst_NA,T306&lt;&gt;TRUE),EUconst_ERR_Incomplete,IF(COUNTIF(AX321:AZ321,TRUE)&gt;0,EUconst_ERR_Inconsistent,""))</f>
        <v/>
      </c>
      <c r="O321" s="733"/>
      <c r="P321" s="33"/>
      <c r="Q321" s="33"/>
      <c r="R321" s="33"/>
      <c r="S321" s="30"/>
      <c r="T321" s="552" t="str">
        <f>EUconst_CNTR_CarbonContent&amp;E306</f>
        <v>CarbC_</v>
      </c>
      <c r="U321" s="497"/>
      <c r="V321" s="553" t="str">
        <f t="shared" si="69"/>
        <v/>
      </c>
      <c r="W321" s="30"/>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0"/>
      <c r="AC321" s="557" t="b">
        <f>AND(AC315,Y321&lt;&gt;EUconst_NA)</f>
        <v>0</v>
      </c>
      <c r="AD321" s="30"/>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0"/>
      <c r="AV321" s="567" t="b">
        <f t="shared" si="66"/>
        <v>0</v>
      </c>
      <c r="AW321" s="568" t="b">
        <f t="shared" si="67"/>
        <v>0</v>
      </c>
      <c r="AX321" s="546" t="b">
        <f>OR(AND(AJ315=EUconst_kNm3,AJ321=EUconst_tCpt),AND(AJ315=EUconst_t,AJ321=EUconst_tCpkNm3))</f>
        <v>0</v>
      </c>
      <c r="AY321" s="553" t="b">
        <f t="shared" si="68"/>
        <v>0</v>
      </c>
      <c r="AZ321" s="30"/>
      <c r="BA321" s="30"/>
      <c r="BB321" s="578" t="s">
        <v>488</v>
      </c>
      <c r="BC321" s="579">
        <f>AR315*AR318/1000*AR322</f>
        <v>0</v>
      </c>
      <c r="BD321" s="580">
        <f>BC321</f>
        <v>0</v>
      </c>
      <c r="BE321" s="581">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3" t="b">
        <f>OR(BZ315,Y321=EUconst_NA)</f>
        <v>1</v>
      </c>
    </row>
    <row r="322" spans="1:78" s="142" customFormat="1" ht="12.75" hidden="1" customHeight="1">
      <c r="A322" s="808"/>
      <c r="B322" s="166"/>
      <c r="C322" s="777" t="s">
        <v>330</v>
      </c>
      <c r="D322" s="512" t="str">
        <f>Translations!$B$641</f>
        <v>BioC:</v>
      </c>
      <c r="E322" s="513"/>
      <c r="F322" s="548"/>
      <c r="G322" s="1532" t="str">
        <f t="shared" si="63"/>
        <v/>
      </c>
      <c r="H322" s="1533"/>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0"/>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0"/>
      <c r="AC322" s="557" t="b">
        <f>AND(AC315,Y322&lt;&gt;EUconst_NA)</f>
        <v>0</v>
      </c>
      <c r="AD322" s="30"/>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0"/>
      <c r="AV322" s="567" t="b">
        <f t="shared" si="66"/>
        <v>0</v>
      </c>
      <c r="AW322" s="568" t="b">
        <f t="shared" si="67"/>
        <v>0</v>
      </c>
      <c r="AX322" s="30"/>
      <c r="AY322" s="594" t="b">
        <f t="shared" si="68"/>
        <v>0</v>
      </c>
      <c r="AZ322" s="531"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3" t="b">
        <f>OR(BZ315,Y322=EUconst_NA)</f>
        <v>1</v>
      </c>
    </row>
    <row r="323" spans="1:78" s="142" customFormat="1" ht="12.75" hidden="1" customHeight="1" thickBot="1">
      <c r="A323" s="808"/>
      <c r="B323" s="166"/>
      <c r="C323" s="777" t="s">
        <v>454</v>
      </c>
      <c r="D323" s="512" t="str">
        <f>Translations!$B$647</f>
        <v>Netvar. BioC:</v>
      </c>
      <c r="E323" s="513"/>
      <c r="F323" s="597"/>
      <c r="G323" s="1532" t="str">
        <f t="shared" si="63"/>
        <v/>
      </c>
      <c r="H323" s="1533"/>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0"/>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0"/>
      <c r="AC323" s="603" t="b">
        <f>AND(AC315,Y323&lt;&gt;EUconst_NA)</f>
        <v>0</v>
      </c>
      <c r="AD323" s="30"/>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0"/>
      <c r="AV323" s="613" t="b">
        <f t="shared" si="66"/>
        <v>0</v>
      </c>
      <c r="AW323" s="614" t="b">
        <f t="shared" si="67"/>
        <v>0</v>
      </c>
      <c r="AX323" s="30"/>
      <c r="AY323" s="579" t="b">
        <f t="shared" si="68"/>
        <v>0</v>
      </c>
      <c r="AZ323" s="580"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80" t="b">
        <f>OR(BZ315,Y323=EUconst_NA)</f>
        <v>1</v>
      </c>
    </row>
    <row r="324" spans="1:78" s="142" customFormat="1" ht="5.0999999999999996" hidden="1" customHeight="1">
      <c r="A324" s="808"/>
      <c r="B324" s="166"/>
      <c r="C324" s="166"/>
      <c r="D324" s="180"/>
      <c r="O324" s="733"/>
      <c r="P324" s="33"/>
      <c r="Q324" s="33"/>
      <c r="R324" s="33"/>
      <c r="S324" s="174"/>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hidden="1" customHeight="1">
      <c r="A325" s="808"/>
      <c r="B325" s="166"/>
      <c r="C325" s="166"/>
      <c r="D325" s="1558" t="str">
        <f>Translations!$B$674</f>
        <v>Pakopos galioja nuo:</v>
      </c>
      <c r="E325" s="1558"/>
      <c r="F325" s="1559"/>
      <c r="G325" s="1052"/>
      <c r="H325" s="615" t="str">
        <f>Translations!$B$675</f>
        <v>iki:</v>
      </c>
      <c r="I325" s="1052"/>
      <c r="J325" s="1536" t="str">
        <f>Translations!$B$676</f>
        <v>Atliekų katalogo numeris (jeigu taikytina):</v>
      </c>
      <c r="K325" s="1537"/>
      <c r="L325" s="1537"/>
      <c r="M325" s="1538"/>
      <c r="N325" s="1289"/>
      <c r="O325" s="733"/>
      <c r="P325" s="33"/>
      <c r="Q325" s="33"/>
      <c r="R325" s="33"/>
      <c r="S325" s="1290"/>
      <c r="T325" s="492"/>
      <c r="U325" s="492"/>
      <c r="V325" s="48" t="b">
        <f>IF(V315="",FALSE,INDEX(CNTR_IsWaste,MATCH(V315,MSParameters!$A$218:$A$376,0)))</f>
        <v>0</v>
      </c>
      <c r="W325" s="1290"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4.5" hidden="1" customHeight="1">
      <c r="A326" s="808"/>
      <c r="B326" s="166"/>
      <c r="C326" s="166"/>
      <c r="D326" s="615"/>
      <c r="E326" s="495"/>
      <c r="F326" s="495"/>
      <c r="G326" s="495"/>
      <c r="H326" s="495"/>
      <c r="I326" s="495"/>
      <c r="J326" s="495"/>
      <c r="K326" s="495"/>
      <c r="L326" s="495"/>
      <c r="M326" s="495"/>
      <c r="N326" s="495"/>
      <c r="O326" s="733"/>
      <c r="P326" s="33"/>
      <c r="Q326" s="33"/>
      <c r="R326" s="33"/>
      <c r="S326" s="174"/>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hidden="1" customHeight="1">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3"/>
      <c r="Q327" s="33"/>
      <c r="R327" s="33"/>
      <c r="S327" s="174"/>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4.5" hidden="1" customHeight="1">
      <c r="A328" s="815"/>
      <c r="D328" s="180"/>
      <c r="O328" s="573"/>
      <c r="P328" s="497"/>
      <c r="Q328" s="497"/>
      <c r="R328" s="497"/>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hidden="1">
      <c r="A329" s="815"/>
      <c r="D329" s="1534" t="str">
        <f>Translations!$B$160</f>
        <v>Pastabos:</v>
      </c>
      <c r="E329" s="1535"/>
      <c r="F329" s="1539"/>
      <c r="G329" s="1540"/>
      <c r="H329" s="1540"/>
      <c r="I329" s="1540"/>
      <c r="J329" s="1540"/>
      <c r="K329" s="1540"/>
      <c r="L329" s="1540"/>
      <c r="M329" s="1540"/>
      <c r="N329" s="1541"/>
      <c r="O329" s="573"/>
      <c r="P329" s="497"/>
      <c r="Q329" s="497"/>
      <c r="R329" s="497"/>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c r="A330" s="808"/>
      <c r="B330" s="495"/>
      <c r="C330" s="499"/>
      <c r="D330" s="500"/>
      <c r="E330" s="501"/>
      <c r="F330" s="499"/>
      <c r="G330" s="502"/>
      <c r="H330" s="502"/>
      <c r="I330" s="502"/>
      <c r="J330" s="502"/>
      <c r="K330" s="502"/>
      <c r="L330" s="502"/>
      <c r="M330" s="502"/>
      <c r="N330" s="502"/>
      <c r="O330" s="740"/>
      <c r="P330" s="494"/>
      <c r="Q330" s="494"/>
      <c r="R330" s="494"/>
      <c r="S330" s="58"/>
      <c r="T330" s="58"/>
      <c r="U330" s="498"/>
      <c r="V330" s="58"/>
      <c r="W330" s="58"/>
      <c r="X330" s="49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c r="A331" s="813"/>
      <c r="B331" s="495"/>
      <c r="C331" s="495"/>
      <c r="D331" s="180"/>
      <c r="E331" s="496"/>
      <c r="F331" s="495"/>
      <c r="G331" s="487"/>
      <c r="H331" s="487"/>
      <c r="I331" s="487"/>
      <c r="J331" s="487"/>
      <c r="K331" s="495"/>
      <c r="L331" s="487"/>
      <c r="M331" s="487"/>
      <c r="N331" s="487"/>
      <c r="O331" s="740"/>
      <c r="P331" s="494"/>
      <c r="Q331" s="494"/>
      <c r="R331" s="494"/>
      <c r="S331" s="23"/>
      <c r="T331" s="27" t="str">
        <f>IF(ISBLANK(E332),"",MATCH(E332,CNTR_SourceStreamNames,0))</f>
        <v/>
      </c>
      <c r="U331" s="618"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1"/>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3" t="s">
        <v>262</v>
      </c>
    </row>
    <row r="332" spans="1:78" s="142" customFormat="1" ht="15" hidden="1" customHeight="1" thickBot="1">
      <c r="A332" s="869" t="str">
        <f>IF(E332="","","PRINT")</f>
        <v/>
      </c>
      <c r="B332" s="166"/>
      <c r="C332" s="617">
        <f>C305+1</f>
        <v>11</v>
      </c>
      <c r="D332" s="166"/>
      <c r="E332" s="1542"/>
      <c r="F332" s="1543"/>
      <c r="G332" s="1543"/>
      <c r="H332" s="1543"/>
      <c r="I332" s="1543"/>
      <c r="J332" s="1544"/>
      <c r="K332" s="1545" t="str">
        <f>IF(E333="","",INDEX(EUwideConstants!$F$353:$F$394,MATCH(E333,EUConst_TierActivityListNames,0)))</f>
        <v/>
      </c>
      <c r="L332" s="1546"/>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3"/>
      <c r="T332" s="509" t="s">
        <v>393</v>
      </c>
      <c r="U332" s="23"/>
      <c r="V332" s="78"/>
      <c r="W332" s="56"/>
      <c r="X332" s="58"/>
      <c r="Y332" s="58"/>
      <c r="Z332" s="58"/>
      <c r="AA332" s="58"/>
      <c r="AB332" s="58"/>
      <c r="AC332" s="58"/>
      <c r="AD332" s="58"/>
      <c r="AE332" s="58"/>
      <c r="AF332" s="58"/>
      <c r="AG332" s="58"/>
      <c r="AH332" s="58"/>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6"/>
      <c r="BZ332" s="619" t="b">
        <f>CNTR_CalcRelevant=EUconst_NotRelevant</f>
        <v>0</v>
      </c>
    </row>
    <row r="333" spans="1:78" s="142" customFormat="1" ht="15" hidden="1" customHeight="1" thickBot="1">
      <c r="A333" s="808"/>
      <c r="B333" s="166"/>
      <c r="C333" s="166"/>
      <c r="D333" s="166"/>
      <c r="E333" s="1547" t="str">
        <f>IF(ISBLANK(E332),"",IF(INDEX(B_InstallationDescription!$E$71:$E$145,MATCH(U331,B_InstallationDescription!$D$71:$D$145,0))&gt;0,INDEX(B_InstallationDescription!$E$71:$E$145,MATCH(U331,B_InstallationDescription!$D$71:$D$145,0)),""))</f>
        <v/>
      </c>
      <c r="F333" s="1548"/>
      <c r="G333" s="1548"/>
      <c r="H333" s="1548"/>
      <c r="I333" s="1548"/>
      <c r="J333" s="1549"/>
      <c r="M333" s="346" t="str">
        <f>Translations!$B$666</f>
        <v>CO2, biomasės kilmės.:</v>
      </c>
      <c r="N333" s="1051" t="str">
        <f>IF(OR(K332="",T333=TRUE),"",INDEX(BC345:BE345,MATCH(K332,BC342:BE342,0)))</f>
        <v/>
      </c>
      <c r="O333" s="742" t="s">
        <v>260</v>
      </c>
      <c r="P333" s="494"/>
      <c r="Q333" s="352" t="str">
        <f>EUconst_SumBioCO2 &amp; "_" &amp; K332</f>
        <v>SUM_bioCO2_</v>
      </c>
      <c r="R333" s="494"/>
      <c r="S333" s="23"/>
      <c r="T333" s="48" t="str">
        <f>IF(E333="","",MATCH(E333,EUConst_TierActivityListNames,0)&gt;40)</f>
        <v/>
      </c>
      <c r="U333" s="23"/>
      <c r="V333" s="78"/>
      <c r="W333" s="56"/>
      <c r="X333" s="58"/>
      <c r="Y333" s="27" t="s">
        <v>93</v>
      </c>
      <c r="Z333" s="30"/>
      <c r="AA333" s="30"/>
      <c r="AB333" s="30"/>
      <c r="AC333" s="30"/>
      <c r="AD333" s="30"/>
      <c r="AE333" s="27" t="s">
        <v>302</v>
      </c>
      <c r="AF333" s="58"/>
      <c r="AG333" s="504"/>
      <c r="AH333" s="30"/>
      <c r="AI333" s="30"/>
      <c r="AJ333" s="504"/>
      <c r="AK333" s="504"/>
      <c r="AL333" s="342"/>
      <c r="AM333" s="27" t="s">
        <v>308</v>
      </c>
      <c r="AN333" s="505"/>
      <c r="AO333" s="505"/>
      <c r="AP333" s="30"/>
      <c r="AQ333" s="30"/>
      <c r="AR333" s="30"/>
      <c r="AS333" s="30"/>
      <c r="AT333" s="30"/>
      <c r="AU333" s="30"/>
      <c r="AV333" s="27" t="s">
        <v>315</v>
      </c>
      <c r="AW333" s="30"/>
      <c r="AX333" s="492"/>
      <c r="AY333" s="30"/>
      <c r="AZ333" s="30"/>
      <c r="BA333" s="30"/>
      <c r="BB333" s="27" t="s">
        <v>219</v>
      </c>
      <c r="BC333" s="30"/>
      <c r="BD333" s="30"/>
      <c r="BE333" s="30"/>
      <c r="BF333" s="30"/>
      <c r="BG333" s="27"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0"/>
      <c r="BZ333" s="30"/>
    </row>
    <row r="334" spans="1:78" s="142" customFormat="1" ht="5.0999999999999996" hidden="1" customHeight="1">
      <c r="A334" s="808"/>
      <c r="B334" s="166"/>
      <c r="C334" s="166"/>
      <c r="D334" s="166"/>
      <c r="E334" s="166"/>
      <c r="F334" s="166"/>
      <c r="G334" s="166"/>
      <c r="M334" s="143"/>
      <c r="N334" s="143"/>
      <c r="O334" s="733"/>
      <c r="P334" s="33"/>
      <c r="Q334" s="33"/>
      <c r="R334" s="33"/>
      <c r="S334" s="23"/>
      <c r="T334" s="23"/>
      <c r="U334" s="23"/>
      <c r="V334" s="78"/>
      <c r="W334" s="30"/>
      <c r="X334" s="30"/>
      <c r="Y334" s="494"/>
      <c r="Z334" s="30"/>
      <c r="AA334" s="30"/>
      <c r="AB334" s="30"/>
      <c r="AC334" s="30"/>
      <c r="AD334" s="30"/>
      <c r="AE334" s="30"/>
      <c r="AF334" s="58"/>
      <c r="AG334" s="30"/>
      <c r="AH334" s="30"/>
      <c r="AI334" s="30"/>
      <c r="AJ334" s="504"/>
      <c r="AK334" s="504"/>
      <c r="AL334" s="342"/>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hidden="1" customHeight="1" thickBot="1">
      <c r="A335" s="808"/>
      <c r="B335" s="166"/>
      <c r="C335" s="166"/>
      <c r="D335" s="166"/>
      <c r="E335" s="1550" t="str">
        <f>IF(E332="","",IF(T333=TRUE,HYPERLINK("#JUMP_14",EUconst_MsgGoOnPFC),HYPERLINK("#JUMP_E_8",EUconst_FurtherGuidancePoint1)))</f>
        <v/>
      </c>
      <c r="F335" s="1550"/>
      <c r="G335" s="1550"/>
      <c r="H335" s="1550"/>
      <c r="I335" s="1550"/>
      <c r="J335" s="1550"/>
      <c r="K335" s="1550"/>
      <c r="L335" s="1550"/>
      <c r="M335" s="1550"/>
      <c r="N335" s="143"/>
      <c r="O335" s="733"/>
      <c r="P335" s="33"/>
      <c r="Q335" s="352" t="str">
        <f>EUconst_SumNonSustBioCO2 &amp; "_" &amp; K332</f>
        <v>SUM_bioNonSustCO2_</v>
      </c>
      <c r="R335" s="707"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4"/>
      <c r="AK335" s="504"/>
      <c r="AL335" s="342"/>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hidden="1" customHeight="1">
      <c r="A336" s="808"/>
      <c r="B336" s="166"/>
      <c r="C336" s="166"/>
      <c r="D336" s="166"/>
      <c r="E336" s="166"/>
      <c r="F336" s="166"/>
      <c r="G336" s="166"/>
      <c r="M336" s="143"/>
      <c r="N336" s="143"/>
      <c r="O336" s="733"/>
      <c r="P336" s="23"/>
      <c r="Q336" s="23"/>
      <c r="R336" s="23"/>
      <c r="S336" s="23"/>
      <c r="T336" s="23"/>
      <c r="U336" s="23"/>
      <c r="V336" s="30"/>
      <c r="W336" s="30"/>
      <c r="X336" s="30"/>
      <c r="Y336" s="494"/>
      <c r="Z336" s="30"/>
      <c r="AA336" s="30"/>
      <c r="AB336" s="30"/>
      <c r="AC336" s="30"/>
      <c r="AD336" s="30"/>
      <c r="AE336" s="30"/>
      <c r="AF336" s="58"/>
      <c r="AG336" s="30"/>
      <c r="AH336" s="30"/>
      <c r="AI336" s="30"/>
      <c r="AJ336" s="504"/>
      <c r="AK336" s="504"/>
      <c r="AL336" s="342"/>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hidden="1" customHeight="1" thickBot="1">
      <c r="A337" s="808"/>
      <c r="B337" s="166"/>
      <c r="C337" s="814" t="s">
        <v>4</v>
      </c>
      <c r="D337" s="512" t="str">
        <f>Translations!$B$622</f>
        <v>VD:</v>
      </c>
      <c r="E337" s="1560" t="str">
        <f>Translations!$B$667</f>
        <v>Ar veiklos duomenys gaunami sudedant išmatuotus kiekius (t. y. ne atliekant nuolatinius matavimus)?</v>
      </c>
      <c r="F337" s="1560"/>
      <c r="G337" s="1560"/>
      <c r="H337" s="1560"/>
      <c r="I337" s="1560"/>
      <c r="J337" s="1560"/>
      <c r="K337" s="1560"/>
      <c r="L337" s="1179"/>
      <c r="M337" s="507"/>
      <c r="O337" s="733"/>
      <c r="P337" s="23"/>
      <c r="Q337" s="23"/>
      <c r="R337" s="23"/>
      <c r="S337" s="23"/>
      <c r="T337" s="23"/>
      <c r="U337" s="23"/>
      <c r="V337" s="30"/>
      <c r="W337" s="30"/>
      <c r="X337" s="30"/>
      <c r="Y337" s="494"/>
      <c r="Z337" s="30"/>
      <c r="AA337" s="30"/>
      <c r="AB337" s="30"/>
      <c r="AC337" s="1172" t="b">
        <f>AND(E332&lt;&gt;"",T333&lt;&gt;TRUE)</f>
        <v>0</v>
      </c>
      <c r="AD337" s="30"/>
      <c r="AE337" s="30"/>
      <c r="AF337" s="58"/>
      <c r="AG337" s="30"/>
      <c r="AH337" s="30"/>
      <c r="AI337" s="30"/>
      <c r="AJ337" s="504"/>
      <c r="AK337" s="504"/>
      <c r="AL337" s="342"/>
      <c r="AM337" s="30"/>
      <c r="AN337" s="30"/>
      <c r="AO337" s="30"/>
      <c r="AP337" s="30"/>
      <c r="AQ337" s="30"/>
      <c r="AR337" s="30"/>
      <c r="AS337" s="30"/>
      <c r="AT337" s="1172"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2" t="b">
        <f>OR(CNTR_CalcRelevant=EUconst_NotRelevant,AND(COUNTA(CNTR_ListRelevantSections)&gt;0,OR(T333=TRUE,E332="")))</f>
        <v>1</v>
      </c>
    </row>
    <row r="338" spans="1:78" s="142" customFormat="1" ht="5.0999999999999996" hidden="1" customHeight="1">
      <c r="A338" s="808"/>
      <c r="B338" s="166"/>
      <c r="C338" s="166"/>
      <c r="D338" s="166"/>
      <c r="E338" s="166"/>
      <c r="F338" s="166"/>
      <c r="G338" s="166"/>
      <c r="H338" s="495"/>
      <c r="I338" s="495"/>
      <c r="J338" s="495"/>
      <c r="K338" s="495"/>
      <c r="L338" s="495"/>
      <c r="M338" s="507"/>
      <c r="O338" s="733"/>
      <c r="P338" s="23"/>
      <c r="Q338" s="23"/>
      <c r="R338" s="23"/>
      <c r="S338" s="23"/>
      <c r="T338" s="23"/>
      <c r="U338" s="23"/>
      <c r="V338" s="30"/>
      <c r="W338" s="30"/>
      <c r="X338" s="30"/>
      <c r="Y338" s="494"/>
      <c r="Z338" s="30"/>
      <c r="AA338" s="30"/>
      <c r="AB338" s="30"/>
      <c r="AC338" s="492"/>
      <c r="AD338" s="30"/>
      <c r="AE338" s="30"/>
      <c r="AF338" s="58"/>
      <c r="AG338" s="30"/>
      <c r="AH338" s="30"/>
      <c r="AI338" s="30"/>
      <c r="AJ338" s="504"/>
      <c r="AK338" s="504"/>
      <c r="AL338" s="342"/>
      <c r="AM338" s="30"/>
      <c r="AN338" s="30"/>
      <c r="AO338" s="30"/>
      <c r="AP338" s="30"/>
      <c r="AQ338" s="30"/>
      <c r="AR338" s="30"/>
      <c r="AS338" s="30"/>
      <c r="AT338" s="492"/>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2"/>
    </row>
    <row r="339" spans="1:78" s="142" customFormat="1" ht="12.75" hidden="1" customHeight="1" thickBot="1">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3"/>
      <c r="Q339" s="23"/>
      <c r="R339" s="23"/>
      <c r="S339" s="23"/>
      <c r="T339" s="23"/>
      <c r="U339" s="23"/>
      <c r="V339" s="30"/>
      <c r="W339" s="30"/>
      <c r="X339" s="30"/>
      <c r="Y339" s="494"/>
      <c r="Z339" s="30"/>
      <c r="AA339" s="30"/>
      <c r="AB339" s="30"/>
      <c r="AC339" s="1172" t="b">
        <f>AC337</f>
        <v>0</v>
      </c>
      <c r="AD339" s="30"/>
      <c r="AE339" s="30"/>
      <c r="AF339" s="58"/>
      <c r="AG339" s="30"/>
      <c r="AH339" s="30"/>
      <c r="AI339" s="30"/>
      <c r="AJ339" s="504"/>
      <c r="AK339" s="504"/>
      <c r="AL339" s="342"/>
      <c r="AM339" s="30"/>
      <c r="AN339" s="30"/>
      <c r="AO339" s="30"/>
      <c r="AP339" s="30"/>
      <c r="AQ339" s="30"/>
      <c r="AR339" s="30"/>
      <c r="AS339" s="30"/>
      <c r="AT339" s="1172"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2" t="b">
        <f>OR(BZ337,AND(NOT(ISBLANK(L337)),L337=FALSE))</f>
        <v>1</v>
      </c>
    </row>
    <row r="340" spans="1:78" s="142" customFormat="1" ht="5.0999999999999996" hidden="1" customHeight="1">
      <c r="A340" s="808"/>
      <c r="B340" s="166"/>
      <c r="C340" s="166"/>
      <c r="D340" s="166"/>
      <c r="E340" s="166"/>
      <c r="F340" s="166"/>
      <c r="G340" s="166"/>
      <c r="M340" s="143"/>
      <c r="N340" s="143"/>
      <c r="O340" s="733"/>
      <c r="P340" s="23"/>
      <c r="Q340" s="23"/>
      <c r="R340" s="23"/>
      <c r="S340" s="23"/>
      <c r="T340" s="23"/>
      <c r="U340" s="23"/>
      <c r="V340" s="30"/>
      <c r="W340" s="30"/>
      <c r="X340" s="30"/>
      <c r="Y340" s="494"/>
      <c r="Z340" s="30"/>
      <c r="AA340" s="30"/>
      <c r="AB340" s="30"/>
      <c r="AC340" s="30"/>
      <c r="AD340" s="30"/>
      <c r="AE340" s="30"/>
      <c r="AF340" s="58"/>
      <c r="AG340" s="30"/>
      <c r="AH340" s="30"/>
      <c r="AI340" s="30"/>
      <c r="AJ340" s="504"/>
      <c r="AK340" s="504"/>
      <c r="AL340" s="342"/>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hidden="1" customHeight="1" thickBot="1">
      <c r="A341" s="808"/>
      <c r="B341" s="166"/>
      <c r="C341" s="166"/>
      <c r="D341" s="166"/>
      <c r="E341" s="166"/>
      <c r="F341" s="506" t="str">
        <f>Translations!$B$333</f>
        <v>Pakopa</v>
      </c>
      <c r="G341" s="1557" t="str">
        <f>Translations!$B$672</f>
        <v>pakopos aprašas</v>
      </c>
      <c r="H341" s="1557"/>
      <c r="I341" s="1555" t="str">
        <f>Translations!$B$158</f>
        <v>Vienetas</v>
      </c>
      <c r="J341" s="1555"/>
      <c r="K341" s="1555" t="str">
        <f>Translations!$B$673</f>
        <v>Vertė</v>
      </c>
      <c r="L341" s="1555"/>
      <c r="M341" s="507" t="str">
        <f>Translations!$B$610</f>
        <v>klaida</v>
      </c>
      <c r="O341" s="733"/>
      <c r="P341" s="508"/>
      <c r="Q341" s="352" t="str">
        <f>EUconst_SumEnergyIN &amp; "_" &amp; K332</f>
        <v>SUM_EnergyIN_</v>
      </c>
      <c r="R341" s="399" t="str">
        <f>IF(OR(K332="",T333)=TRUE,"",INDEX(BC347:BE347,MATCH(K332,BC342:BE342,0)))</f>
        <v/>
      </c>
      <c r="S341" s="30"/>
      <c r="T341" s="489"/>
      <c r="U341" s="30"/>
      <c r="V341" s="509" t="s">
        <v>303</v>
      </c>
      <c r="W341" s="30"/>
      <c r="X341" s="30"/>
      <c r="Y341" s="494" t="s">
        <v>566</v>
      </c>
      <c r="Z341" s="494" t="s">
        <v>318</v>
      </c>
      <c r="AA341" s="30"/>
      <c r="AB341" s="30"/>
      <c r="AC341" s="505" t="s">
        <v>309</v>
      </c>
      <c r="AD341" s="30"/>
      <c r="AE341" s="30"/>
      <c r="AF341" s="492" t="s">
        <v>305</v>
      </c>
      <c r="AG341" s="492" t="s">
        <v>306</v>
      </c>
      <c r="AH341" s="494" t="s">
        <v>304</v>
      </c>
      <c r="AI341" s="504" t="s">
        <v>307</v>
      </c>
      <c r="AJ341" s="504" t="s">
        <v>567</v>
      </c>
      <c r="AK341" s="510" t="s">
        <v>311</v>
      </c>
      <c r="AL341" s="342"/>
      <c r="AM341" s="30"/>
      <c r="AN341" s="492" t="s">
        <v>305</v>
      </c>
      <c r="AO341" s="492" t="s">
        <v>306</v>
      </c>
      <c r="AP341" s="511" t="s">
        <v>310</v>
      </c>
      <c r="AQ341" s="504" t="s">
        <v>569</v>
      </c>
      <c r="AR341" s="504" t="s">
        <v>568</v>
      </c>
      <c r="AS341" s="510" t="s">
        <v>311</v>
      </c>
      <c r="AT341" s="510" t="s">
        <v>311</v>
      </c>
      <c r="AU341" s="30"/>
      <c r="AV341" s="492"/>
      <c r="AW341" s="492"/>
      <c r="AX341" s="492" t="s">
        <v>321</v>
      </c>
      <c r="AY341" s="492"/>
      <c r="AZ341" s="492"/>
      <c r="BA341" s="492"/>
      <c r="BB341" s="492"/>
      <c r="BC341" s="492"/>
      <c r="BD341" s="492"/>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3" t="s">
        <v>262</v>
      </c>
    </row>
    <row r="342" spans="1:78" s="142" customFormat="1" ht="12.75" hidden="1" customHeight="1" thickBot="1">
      <c r="A342" s="808"/>
      <c r="B342" s="166"/>
      <c r="C342" s="777" t="s">
        <v>196</v>
      </c>
      <c r="D342" s="512" t="str">
        <f>Translations!$B$622</f>
        <v>VD:</v>
      </c>
      <c r="E342" s="513"/>
      <c r="F342" s="402"/>
      <c r="G342" s="1532" t="str">
        <f>IF(OR(ISBLANK(F342),F342=EUconst_NoTier),"",IF(Z342=0,EUconst_NA,IF(ISERROR(Z342),"",Z342)))</f>
        <v/>
      </c>
      <c r="H342" s="1533"/>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0"/>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0"/>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0"/>
      <c r="AV342" s="492" t="s">
        <v>314</v>
      </c>
      <c r="AW342" s="492" t="s">
        <v>319</v>
      </c>
      <c r="AX342" s="524"/>
      <c r="AY342" s="30" t="s">
        <v>542</v>
      </c>
      <c r="AZ342" s="30"/>
      <c r="BA342" s="30"/>
      <c r="BB342" s="504"/>
      <c r="BC342" s="493" t="str">
        <f>EUconst_Fuel</f>
        <v>Degimas</v>
      </c>
      <c r="BD342" s="493" t="str">
        <f>EUconst_ProcessCarbonate</f>
        <v>Proceso metu išsiskiriančios ŠESD</v>
      </c>
      <c r="BE342" s="493"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4" t="b">
        <f>BZ337</f>
        <v>1</v>
      </c>
    </row>
    <row r="343" spans="1:78" s="142" customFormat="1" ht="5.0999999999999996" hidden="1" customHeight="1">
      <c r="A343" s="808"/>
      <c r="B343" s="166"/>
      <c r="C343" s="814"/>
      <c r="D343" s="306"/>
      <c r="F343" s="143"/>
      <c r="G343" s="143"/>
      <c r="H343" s="143" t="s">
        <v>236</v>
      </c>
      <c r="I343" s="525"/>
      <c r="J343" s="525"/>
      <c r="K343" s="143"/>
      <c r="L343" s="143"/>
      <c r="M343" s="710"/>
      <c r="O343" s="733"/>
      <c r="P343" s="33"/>
      <c r="Q343" s="33"/>
      <c r="R343" s="33"/>
      <c r="S343" s="30"/>
      <c r="T343" s="155"/>
      <c r="U343" s="497"/>
      <c r="V343" s="30"/>
      <c r="W343" s="30"/>
      <c r="X343" s="497"/>
      <c r="Y343" s="526"/>
      <c r="Z343" s="30"/>
      <c r="AA343" s="30"/>
      <c r="AB343" s="30"/>
      <c r="AC343" s="30"/>
      <c r="AD343" s="30"/>
      <c r="AE343" s="30"/>
      <c r="AF343" s="30"/>
      <c r="AG343" s="30"/>
      <c r="AH343" s="30"/>
      <c r="AI343" s="30"/>
      <c r="AJ343" s="30"/>
      <c r="AK343" s="30"/>
      <c r="AL343" s="342"/>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3"/>
    </row>
    <row r="344" spans="1:78" s="142" customFormat="1" ht="12.75" hidden="1" customHeight="1" thickBot="1">
      <c r="A344" s="808"/>
      <c r="B344" s="166"/>
      <c r="C344" s="814" t="s">
        <v>197</v>
      </c>
      <c r="D344" s="512" t="str">
        <f>Translations!$B$634</f>
        <v>(prelim.) ITF:</v>
      </c>
      <c r="E344" s="513"/>
      <c r="F344" s="527"/>
      <c r="G344" s="1532" t="str">
        <f t="shared" ref="G344:G350" si="70">IF(OR(ISBLANK(F344),F344=EUconst_NoTier),"",IF(Z344=0,EUconst_NotApplicable,IF(ISERROR(Z344),"",Z344)))</f>
        <v/>
      </c>
      <c r="H344" s="1556"/>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3"/>
      <c r="Q344" s="33"/>
      <c r="R344" s="33"/>
      <c r="S344" s="30"/>
      <c r="T344" s="530" t="str">
        <f>EUconst_CNTR_EF&amp;E333</f>
        <v>EF_</v>
      </c>
      <c r="U344" s="497"/>
      <c r="V344" s="531" t="str">
        <f>V342</f>
        <v/>
      </c>
      <c r="W344" s="30"/>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0"/>
      <c r="AC344" s="535" t="b">
        <f>AND(AC342,Y344&lt;&gt;EUconst_NA)</f>
        <v>0</v>
      </c>
      <c r="AD344" s="30"/>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0"/>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0"/>
      <c r="BA344" s="30"/>
      <c r="BB344" s="547" t="s">
        <v>594</v>
      </c>
      <c r="BC344" s="546" t="str">
        <f>IF(K332=BC342,AR342*IF(AJ344=EUconst_tCO2pTJ,(AR345/1000),1)*AR344*AR346*AR350,"")</f>
        <v/>
      </c>
      <c r="BD344" s="524" t="str">
        <f>IF(K332=BD342,AR342*AR344*AR347*AR350,"")</f>
        <v/>
      </c>
      <c r="BE344" s="523"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1" t="b">
        <f>OR(BZ342,Y344=EUconst_NA)</f>
        <v>1</v>
      </c>
    </row>
    <row r="345" spans="1:78" s="142" customFormat="1" ht="12.75" hidden="1" customHeight="1" thickBot="1">
      <c r="A345" s="808"/>
      <c r="B345" s="166"/>
      <c r="C345" s="814" t="s">
        <v>198</v>
      </c>
      <c r="D345" s="512" t="str">
        <f>Translations!$B$636</f>
        <v>GŠV:</v>
      </c>
      <c r="E345" s="513"/>
      <c r="F345" s="548"/>
      <c r="G345" s="1532" t="str">
        <f t="shared" si="70"/>
        <v/>
      </c>
      <c r="H345" s="1533"/>
      <c r="I345" s="1169" t="str">
        <f>AJ345</f>
        <v/>
      </c>
      <c r="J345" s="549"/>
      <c r="K345" s="550" t="str">
        <f t="shared" si="71"/>
        <v/>
      </c>
      <c r="L345" s="551"/>
      <c r="M345" s="709" t="str">
        <f>IF(AND(E333&lt;&gt;"",OR(F345="",COUNT(K345:L345)=0),Y345&lt;&gt;EUconst_NA,T333&lt;&gt;TRUE),EUconst_ERR_Incomplete,IF(COUNTIF(AX345:AZ345,TRUE)&gt;0,EUconst_ERR_Inconsistent,""))</f>
        <v/>
      </c>
      <c r="O345" s="733"/>
      <c r="P345" s="33"/>
      <c r="Q345" s="33"/>
      <c r="R345" s="33"/>
      <c r="S345" s="30"/>
      <c r="T345" s="552" t="str">
        <f>EUconst_CNTR_NCV&amp;E333</f>
        <v>NCV_</v>
      </c>
      <c r="U345" s="497"/>
      <c r="V345" s="553" t="str">
        <f t="shared" ref="V345:V350" si="76">V344</f>
        <v/>
      </c>
      <c r="W345" s="30"/>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0"/>
      <c r="AC345" s="557" t="b">
        <f>AND(AC342,Y345&lt;&gt;EUconst_NA)</f>
        <v>0</v>
      </c>
      <c r="AD345" s="30"/>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0"/>
      <c r="AV345" s="567" t="b">
        <f t="shared" si="73"/>
        <v>0</v>
      </c>
      <c r="AW345" s="568" t="b">
        <f t="shared" si="74"/>
        <v>0</v>
      </c>
      <c r="AX345" s="30"/>
      <c r="AY345" s="553" t="b">
        <f t="shared" si="75"/>
        <v>0</v>
      </c>
      <c r="AZ345" s="30"/>
      <c r="BA345" s="30"/>
      <c r="BB345" s="547" t="s">
        <v>595</v>
      </c>
      <c r="BC345" s="546" t="str">
        <f>IF(K332=BC342,AR342*IF(AJ344=EUconst_tCO2pTJ,(AR345/1000),1)*AR344*AR346*AR349,"")</f>
        <v/>
      </c>
      <c r="BD345" s="524" t="str">
        <f>IF(K332=BD342,AR342*AR344*AR347*AR349,"")</f>
        <v/>
      </c>
      <c r="BE345" s="523"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3" t="b">
        <f>OR(BZ342,Y345=EUconst_NA)</f>
        <v>1</v>
      </c>
    </row>
    <row r="346" spans="1:78" s="142" customFormat="1" ht="12.75" hidden="1" customHeight="1" thickBot="1">
      <c r="A346" s="808"/>
      <c r="B346" s="166"/>
      <c r="C346" s="814" t="s">
        <v>199</v>
      </c>
      <c r="D346" s="512" t="str">
        <f>Translations!$B$638</f>
        <v>OksK:</v>
      </c>
      <c r="E346" s="513"/>
      <c r="F346" s="548"/>
      <c r="G346" s="1532" t="str">
        <f t="shared" si="70"/>
        <v/>
      </c>
      <c r="H346" s="1533"/>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3"/>
      <c r="Q346" s="33"/>
      <c r="R346" s="33"/>
      <c r="S346" s="30"/>
      <c r="T346" s="552" t="str">
        <f>EUconst_CNTR_OxidationFactor&amp;E333</f>
        <v>OxF_</v>
      </c>
      <c r="U346" s="497"/>
      <c r="V346" s="553" t="str">
        <f t="shared" si="76"/>
        <v/>
      </c>
      <c r="W346" s="30"/>
      <c r="X346" s="497"/>
      <c r="Y346" s="554" t="str">
        <f>IF(OR(T333=TRUE,E333=""),"",INDEX(EUwideConstants!$N:$N,MATCH(T346,EUwideConstants!$Q:$Q,0)))</f>
        <v/>
      </c>
      <c r="Z346" s="555" t="str">
        <f>IF(ISBLANK(F346),"",IF(F346=EUconst_NA,"",INDEX(EUwideConstants!$H:$M,MATCH(T346,EUwideConstants!$Q:$Q,0),MATCH(F346,CNTR_TierList,0))))</f>
        <v/>
      </c>
      <c r="AA346" s="534" t="str">
        <f>IF(F346=1,1,"")</f>
        <v/>
      </c>
      <c r="AB346" s="30"/>
      <c r="AC346" s="557" t="b">
        <f>AND(AC342,Y346&lt;&gt;EUconst_NA)</f>
        <v>0</v>
      </c>
      <c r="AD346" s="30"/>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0"/>
      <c r="AV346" s="567" t="b">
        <f t="shared" si="73"/>
        <v>0</v>
      </c>
      <c r="AW346" s="568" t="b">
        <f t="shared" si="74"/>
        <v>0</v>
      </c>
      <c r="AX346" s="30"/>
      <c r="AY346" s="594" t="b">
        <f t="shared" si="75"/>
        <v>0</v>
      </c>
      <c r="AZ346" s="531" t="b">
        <f>AR346&gt;100%</f>
        <v>0</v>
      </c>
      <c r="BA346" s="30"/>
      <c r="BB346" s="547" t="s">
        <v>290</v>
      </c>
      <c r="BC346" s="546" t="str">
        <f>IF(K332=BC342,AR342*IF(AJ344=EUconst_tCO2pTJ,(AR345/1000),1)*AR344*AR346*(1-AR349),"")</f>
        <v/>
      </c>
      <c r="BD346" s="524" t="str">
        <f>IF(K332=BD342,AR342*AR344*AR347*(1-AR349),"")</f>
        <v/>
      </c>
      <c r="BE346" s="523"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3" t="b">
        <f>OR(BZ342,Y346=EUconst_NA)</f>
        <v>1</v>
      </c>
    </row>
    <row r="347" spans="1:78" s="142" customFormat="1" ht="12.75" hidden="1" customHeight="1" thickBot="1">
      <c r="A347" s="808"/>
      <c r="B347" s="166"/>
      <c r="C347" s="814" t="s">
        <v>200</v>
      </c>
      <c r="D347" s="512" t="str">
        <f>Translations!$B$639</f>
        <v>KonvK:</v>
      </c>
      <c r="E347" s="513"/>
      <c r="F347" s="548"/>
      <c r="G347" s="1532" t="str">
        <f t="shared" si="70"/>
        <v/>
      </c>
      <c r="H347" s="1533"/>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3"/>
      <c r="Q347" s="33"/>
      <c r="R347" s="33"/>
      <c r="S347" s="30"/>
      <c r="T347" s="552" t="str">
        <f>EUconst_CNTR_ConversionFactor&amp;E333</f>
        <v>ConvF_</v>
      </c>
      <c r="U347" s="497"/>
      <c r="V347" s="553" t="str">
        <f t="shared" si="76"/>
        <v/>
      </c>
      <c r="W347" s="30"/>
      <c r="X347" s="497"/>
      <c r="Y347" s="554" t="str">
        <f>IF(OR(T333=TRUE,E333=""),"",INDEX(EUwideConstants!$N:$N,MATCH(T347,EUwideConstants!$Q:$Q,0)))</f>
        <v/>
      </c>
      <c r="Z347" s="555" t="str">
        <f>IF(ISBLANK(F347),"",IF(F347=EUconst_NA,"",INDEX(EUwideConstants!$H:$M,MATCH(T347,EUwideConstants!$Q:$Q,0),MATCH(F347,CNTR_TierList,0))))</f>
        <v/>
      </c>
      <c r="AA347" s="582" t="str">
        <f>IF(F347=1,1,"")</f>
        <v/>
      </c>
      <c r="AB347" s="30"/>
      <c r="AC347" s="557" t="b">
        <f>AND(AC342,Y347&lt;&gt;EUconst_NA)</f>
        <v>0</v>
      </c>
      <c r="AD347" s="30"/>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0"/>
      <c r="AV347" s="567" t="b">
        <f t="shared" si="73"/>
        <v>0</v>
      </c>
      <c r="AW347" s="568" t="b">
        <f t="shared" si="74"/>
        <v>0</v>
      </c>
      <c r="AX347" s="30"/>
      <c r="AY347" s="594" t="b">
        <f t="shared" si="75"/>
        <v>0</v>
      </c>
      <c r="AZ347" s="580" t="b">
        <f>AR347&gt;100%</f>
        <v>0</v>
      </c>
      <c r="BA347" s="30"/>
      <c r="BB347" s="578" t="s">
        <v>487</v>
      </c>
      <c r="BC347" s="579">
        <f>AR342*AR345/1000*(1-AR349)</f>
        <v>0</v>
      </c>
      <c r="BD347" s="580">
        <f>BC347</f>
        <v>0</v>
      </c>
      <c r="BE347" s="581">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3" t="b">
        <f>OR(BZ342,Y347=EUconst_NA)</f>
        <v>1</v>
      </c>
    </row>
    <row r="348" spans="1:78" s="142" customFormat="1" ht="12.75" hidden="1" customHeight="1" thickBot="1">
      <c r="A348" s="808"/>
      <c r="B348" s="166"/>
      <c r="C348" s="814" t="s">
        <v>329</v>
      </c>
      <c r="D348" s="512" t="str">
        <f>Translations!$B$640</f>
        <v>AnglK:</v>
      </c>
      <c r="E348" s="513"/>
      <c r="F348" s="548"/>
      <c r="G348" s="1532" t="str">
        <f t="shared" si="70"/>
        <v/>
      </c>
      <c r="H348" s="1533"/>
      <c r="I348" s="1170" t="str">
        <f>AJ348</f>
        <v/>
      </c>
      <c r="J348" s="586"/>
      <c r="K348" s="587" t="str">
        <f t="shared" si="71"/>
        <v/>
      </c>
      <c r="L348" s="588"/>
      <c r="M348" s="709" t="str">
        <f>IF(AND(E333&lt;&gt;"",OR(F348="",COUNT(K348:L348)=0),Y348&lt;&gt;EUconst_NA,T333&lt;&gt;TRUE),EUconst_ERR_Incomplete,IF(COUNTIF(AX348:AZ348,TRUE)&gt;0,EUconst_ERR_Inconsistent,""))</f>
        <v/>
      </c>
      <c r="O348" s="733"/>
      <c r="P348" s="33"/>
      <c r="Q348" s="33"/>
      <c r="R348" s="33"/>
      <c r="S348" s="30"/>
      <c r="T348" s="552" t="str">
        <f>EUconst_CNTR_CarbonContent&amp;E333</f>
        <v>CarbC_</v>
      </c>
      <c r="U348" s="497"/>
      <c r="V348" s="553" t="str">
        <f t="shared" si="76"/>
        <v/>
      </c>
      <c r="W348" s="30"/>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0"/>
      <c r="AC348" s="557" t="b">
        <f>AND(AC342,Y348&lt;&gt;EUconst_NA)</f>
        <v>0</v>
      </c>
      <c r="AD348" s="30"/>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0"/>
      <c r="AV348" s="567" t="b">
        <f t="shared" si="73"/>
        <v>0</v>
      </c>
      <c r="AW348" s="568" t="b">
        <f t="shared" si="74"/>
        <v>0</v>
      </c>
      <c r="AX348" s="546" t="b">
        <f>OR(AND(AJ342=EUconst_kNm3,AJ348=EUconst_tCpt),AND(AJ342=EUconst_t,AJ348=EUconst_tCpkNm3))</f>
        <v>0</v>
      </c>
      <c r="AY348" s="553" t="b">
        <f t="shared" si="75"/>
        <v>0</v>
      </c>
      <c r="AZ348" s="30"/>
      <c r="BA348" s="30"/>
      <c r="BB348" s="578" t="s">
        <v>488</v>
      </c>
      <c r="BC348" s="579">
        <f>AR342*AR345/1000*AR349</f>
        <v>0</v>
      </c>
      <c r="BD348" s="580">
        <f>BC348</f>
        <v>0</v>
      </c>
      <c r="BE348" s="581">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3" t="b">
        <f>OR(BZ342,Y348=EUconst_NA)</f>
        <v>1</v>
      </c>
    </row>
    <row r="349" spans="1:78" s="142" customFormat="1" ht="12.75" hidden="1" customHeight="1">
      <c r="A349" s="808"/>
      <c r="B349" s="166"/>
      <c r="C349" s="777" t="s">
        <v>330</v>
      </c>
      <c r="D349" s="512" t="str">
        <f>Translations!$B$641</f>
        <v>BioC:</v>
      </c>
      <c r="E349" s="513"/>
      <c r="F349" s="548"/>
      <c r="G349" s="1532" t="str">
        <f t="shared" si="70"/>
        <v/>
      </c>
      <c r="H349" s="1533"/>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0"/>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0"/>
      <c r="AC349" s="557" t="b">
        <f>AND(AC342,Y349&lt;&gt;EUconst_NA)</f>
        <v>0</v>
      </c>
      <c r="AD349" s="30"/>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0"/>
      <c r="AV349" s="567" t="b">
        <f t="shared" si="73"/>
        <v>0</v>
      </c>
      <c r="AW349" s="568" t="b">
        <f t="shared" si="74"/>
        <v>0</v>
      </c>
      <c r="AX349" s="30"/>
      <c r="AY349" s="594" t="b">
        <f t="shared" si="75"/>
        <v>0</v>
      </c>
      <c r="AZ349" s="531"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3" t="b">
        <f>OR(BZ342,Y349=EUconst_NA)</f>
        <v>1</v>
      </c>
    </row>
    <row r="350" spans="1:78" s="142" customFormat="1" ht="12.75" hidden="1" customHeight="1" thickBot="1">
      <c r="A350" s="808"/>
      <c r="B350" s="166"/>
      <c r="C350" s="777" t="s">
        <v>454</v>
      </c>
      <c r="D350" s="512" t="str">
        <f>Translations!$B$647</f>
        <v>Netvar. BioC:</v>
      </c>
      <c r="E350" s="513"/>
      <c r="F350" s="597"/>
      <c r="G350" s="1532" t="str">
        <f t="shared" si="70"/>
        <v/>
      </c>
      <c r="H350" s="1533"/>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0"/>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0"/>
      <c r="AC350" s="603" t="b">
        <f>AND(AC342,Y350&lt;&gt;EUconst_NA)</f>
        <v>0</v>
      </c>
      <c r="AD350" s="30"/>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0"/>
      <c r="AV350" s="613" t="b">
        <f t="shared" si="73"/>
        <v>0</v>
      </c>
      <c r="AW350" s="614" t="b">
        <f t="shared" si="74"/>
        <v>0</v>
      </c>
      <c r="AX350" s="30"/>
      <c r="AY350" s="579" t="b">
        <f t="shared" si="75"/>
        <v>0</v>
      </c>
      <c r="AZ350" s="580"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80" t="b">
        <f>OR(BZ342,Y350=EUconst_NA)</f>
        <v>1</v>
      </c>
    </row>
    <row r="351" spans="1:78" s="142" customFormat="1" ht="4.5" hidden="1" customHeight="1">
      <c r="A351" s="808"/>
      <c r="B351" s="166"/>
      <c r="C351" s="166"/>
      <c r="D351" s="180"/>
      <c r="O351" s="733"/>
      <c r="P351" s="33"/>
      <c r="Q351" s="33"/>
      <c r="R351" s="33"/>
      <c r="S351" s="174"/>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hidden="1" customHeight="1">
      <c r="A352" s="808"/>
      <c r="B352" s="166"/>
      <c r="C352" s="166"/>
      <c r="D352" s="1558" t="str">
        <f>Translations!$B$674</f>
        <v>Pakopos galioja nuo:</v>
      </c>
      <c r="E352" s="1558"/>
      <c r="F352" s="1559"/>
      <c r="G352" s="1052"/>
      <c r="H352" s="615" t="str">
        <f>Translations!$B$675</f>
        <v>iki:</v>
      </c>
      <c r="I352" s="1052"/>
      <c r="J352" s="1536" t="str">
        <f>Translations!$B$676</f>
        <v>Atliekų katalogo numeris (jeigu taikytina):</v>
      </c>
      <c r="K352" s="1537"/>
      <c r="L352" s="1537"/>
      <c r="M352" s="1538"/>
      <c r="N352" s="1289"/>
      <c r="O352" s="733"/>
      <c r="P352" s="33"/>
      <c r="Q352" s="33"/>
      <c r="R352" s="33"/>
      <c r="S352" s="1290"/>
      <c r="T352" s="492"/>
      <c r="U352" s="492"/>
      <c r="V352" s="48" t="b">
        <f>IF(V342="",FALSE,INDEX(CNTR_IsWaste,MATCH(V342,MSParameters!$A$218:$A$376,0)))</f>
        <v>0</v>
      </c>
      <c r="W352" s="1290"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hidden="1" customHeight="1">
      <c r="A353" s="808"/>
      <c r="B353" s="166"/>
      <c r="C353" s="166"/>
      <c r="D353" s="615"/>
      <c r="E353" s="495"/>
      <c r="F353" s="495"/>
      <c r="G353" s="495"/>
      <c r="H353" s="495"/>
      <c r="I353" s="495"/>
      <c r="J353" s="495"/>
      <c r="K353" s="495"/>
      <c r="L353" s="495"/>
      <c r="M353" s="495"/>
      <c r="N353" s="495"/>
      <c r="O353" s="733"/>
      <c r="P353" s="33"/>
      <c r="Q353" s="33"/>
      <c r="R353" s="33"/>
      <c r="S353" s="174"/>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hidden="1" customHeight="1">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3"/>
      <c r="Q354" s="33"/>
      <c r="R354" s="33"/>
      <c r="S354" s="174"/>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4.5" hidden="1" customHeight="1">
      <c r="A355" s="815"/>
      <c r="D355" s="180"/>
      <c r="O355" s="573"/>
      <c r="P355" s="497"/>
      <c r="Q355" s="497"/>
      <c r="R355" s="497"/>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hidden="1">
      <c r="A356" s="815"/>
      <c r="D356" s="1534" t="str">
        <f>Translations!$B$160</f>
        <v>Pastabos:</v>
      </c>
      <c r="E356" s="1535"/>
      <c r="F356" s="1539"/>
      <c r="G356" s="1540"/>
      <c r="H356" s="1540"/>
      <c r="I356" s="1540"/>
      <c r="J356" s="1540"/>
      <c r="K356" s="1540"/>
      <c r="L356" s="1540"/>
      <c r="M356" s="1540"/>
      <c r="N356" s="1541"/>
      <c r="O356" s="573"/>
      <c r="P356" s="497"/>
      <c r="Q356" s="497"/>
      <c r="R356" s="497"/>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c r="A357" s="808"/>
      <c r="B357" s="495"/>
      <c r="C357" s="499"/>
      <c r="D357" s="500"/>
      <c r="E357" s="501"/>
      <c r="F357" s="499"/>
      <c r="G357" s="502"/>
      <c r="H357" s="502"/>
      <c r="I357" s="502"/>
      <c r="J357" s="502"/>
      <c r="K357" s="502"/>
      <c r="L357" s="502"/>
      <c r="M357" s="502"/>
      <c r="N357" s="502"/>
      <c r="O357" s="740"/>
      <c r="P357" s="494"/>
      <c r="Q357" s="494"/>
      <c r="R357" s="494"/>
      <c r="S357" s="58"/>
      <c r="T357" s="58"/>
      <c r="U357" s="498"/>
      <c r="V357" s="58"/>
      <c r="W357" s="58"/>
      <c r="X357" s="49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5.25" hidden="1" customHeight="1" thickBot="1">
      <c r="A358" s="813"/>
      <c r="B358" s="495"/>
      <c r="C358" s="495"/>
      <c r="D358" s="180"/>
      <c r="E358" s="496"/>
      <c r="F358" s="495"/>
      <c r="G358" s="487"/>
      <c r="H358" s="487"/>
      <c r="I358" s="487"/>
      <c r="J358" s="487"/>
      <c r="K358" s="495"/>
      <c r="L358" s="487"/>
      <c r="M358" s="487"/>
      <c r="N358" s="487"/>
      <c r="O358" s="740"/>
      <c r="P358" s="494"/>
      <c r="Q358" s="494"/>
      <c r="R358" s="494"/>
      <c r="S358" s="23"/>
      <c r="T358" s="27" t="str">
        <f>IF(ISBLANK(E359),"",MATCH(E359,CNTR_SourceStreamNames,0))</f>
        <v/>
      </c>
      <c r="U358" s="618"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1"/>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3" t="s">
        <v>262</v>
      </c>
    </row>
    <row r="359" spans="1:78" s="142" customFormat="1" ht="15" hidden="1" customHeight="1" thickBot="1">
      <c r="A359" s="869" t="str">
        <f>IF(E359="","","PRINT")</f>
        <v/>
      </c>
      <c r="B359" s="166"/>
      <c r="C359" s="617">
        <f>C332+1</f>
        <v>12</v>
      </c>
      <c r="D359" s="166"/>
      <c r="E359" s="1542"/>
      <c r="F359" s="1543"/>
      <c r="G359" s="1543"/>
      <c r="H359" s="1543"/>
      <c r="I359" s="1543"/>
      <c r="J359" s="1544"/>
      <c r="K359" s="1545" t="str">
        <f>IF(E360="","",INDEX(EUwideConstants!$F$353:$F$394,MATCH(E360,EUConst_TierActivityListNames,0)))</f>
        <v/>
      </c>
      <c r="L359" s="1546"/>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3"/>
      <c r="T359" s="509" t="s">
        <v>393</v>
      </c>
      <c r="U359" s="23"/>
      <c r="V359" s="78"/>
      <c r="W359" s="56"/>
      <c r="X359" s="58"/>
      <c r="Y359" s="58"/>
      <c r="Z359" s="58"/>
      <c r="AA359" s="58"/>
      <c r="AB359" s="58"/>
      <c r="AC359" s="58"/>
      <c r="AD359" s="58"/>
      <c r="AE359" s="58"/>
      <c r="AF359" s="58"/>
      <c r="AG359" s="58"/>
      <c r="AH359" s="58"/>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6"/>
      <c r="BZ359" s="619" t="b">
        <f>CNTR_CalcRelevant=EUconst_NotRelevant</f>
        <v>0</v>
      </c>
    </row>
    <row r="360" spans="1:78" s="142" customFormat="1" ht="15" hidden="1" customHeight="1" thickBot="1">
      <c r="A360" s="808"/>
      <c r="B360" s="166"/>
      <c r="C360" s="166"/>
      <c r="D360" s="166"/>
      <c r="E360" s="1547" t="str">
        <f>IF(ISBLANK(E359),"",IF(INDEX(B_InstallationDescription!$E$71:$E$145,MATCH(U358,B_InstallationDescription!$D$71:$D$145,0))&gt;0,INDEX(B_InstallationDescription!$E$71:$E$145,MATCH(U358,B_InstallationDescription!$D$71:$D$145,0)),""))</f>
        <v/>
      </c>
      <c r="F360" s="1548"/>
      <c r="G360" s="1548"/>
      <c r="H360" s="1548"/>
      <c r="I360" s="1548"/>
      <c r="J360" s="1549"/>
      <c r="M360" s="346" t="str">
        <f>Translations!$B$666</f>
        <v>CO2, biomasės kilmės.:</v>
      </c>
      <c r="N360" s="1051" t="str">
        <f>IF(OR(K359="",T360=TRUE),"",INDEX(BC372:BE372,MATCH(K359,BC369:BE369,0)))</f>
        <v/>
      </c>
      <c r="O360" s="742" t="s">
        <v>260</v>
      </c>
      <c r="P360" s="494"/>
      <c r="Q360" s="352" t="str">
        <f>EUconst_SumBioCO2 &amp; "_" &amp; K359</f>
        <v>SUM_bioCO2_</v>
      </c>
      <c r="R360" s="494"/>
      <c r="S360" s="23"/>
      <c r="T360" s="48" t="str">
        <f>IF(E360="","",MATCH(E360,EUConst_TierActivityListNames,0)&gt;40)</f>
        <v/>
      </c>
      <c r="U360" s="23"/>
      <c r="V360" s="78"/>
      <c r="W360" s="56"/>
      <c r="X360" s="58"/>
      <c r="Y360" s="27" t="s">
        <v>93</v>
      </c>
      <c r="Z360" s="30"/>
      <c r="AA360" s="30"/>
      <c r="AB360" s="30"/>
      <c r="AC360" s="30"/>
      <c r="AD360" s="30"/>
      <c r="AE360" s="27" t="s">
        <v>302</v>
      </c>
      <c r="AF360" s="58"/>
      <c r="AG360" s="504"/>
      <c r="AH360" s="30"/>
      <c r="AI360" s="30"/>
      <c r="AJ360" s="504"/>
      <c r="AK360" s="504"/>
      <c r="AL360" s="342"/>
      <c r="AM360" s="27" t="s">
        <v>308</v>
      </c>
      <c r="AN360" s="505"/>
      <c r="AO360" s="505"/>
      <c r="AP360" s="30"/>
      <c r="AQ360" s="30"/>
      <c r="AR360" s="30"/>
      <c r="AS360" s="30"/>
      <c r="AT360" s="30"/>
      <c r="AU360" s="30"/>
      <c r="AV360" s="27" t="s">
        <v>315</v>
      </c>
      <c r="AW360" s="30"/>
      <c r="AX360" s="492"/>
      <c r="AY360" s="30"/>
      <c r="AZ360" s="30"/>
      <c r="BA360" s="30"/>
      <c r="BB360" s="27" t="s">
        <v>219</v>
      </c>
      <c r="BC360" s="30"/>
      <c r="BD360" s="30"/>
      <c r="BE360" s="30"/>
      <c r="BF360" s="30"/>
      <c r="BG360" s="27"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0"/>
      <c r="BZ360" s="30"/>
    </row>
    <row r="361" spans="1:78" s="142" customFormat="1" ht="5.0999999999999996" hidden="1" customHeight="1">
      <c r="A361" s="808"/>
      <c r="B361" s="166"/>
      <c r="C361" s="166"/>
      <c r="D361" s="166"/>
      <c r="E361" s="166"/>
      <c r="F361" s="166"/>
      <c r="G361" s="166"/>
      <c r="M361" s="143"/>
      <c r="N361" s="143"/>
      <c r="O361" s="733"/>
      <c r="P361" s="33"/>
      <c r="Q361" s="33"/>
      <c r="R361" s="33"/>
      <c r="S361" s="23"/>
      <c r="T361" s="23"/>
      <c r="U361" s="23"/>
      <c r="V361" s="78"/>
      <c r="W361" s="30"/>
      <c r="X361" s="30"/>
      <c r="Y361" s="494"/>
      <c r="Z361" s="30"/>
      <c r="AA361" s="30"/>
      <c r="AB361" s="30"/>
      <c r="AC361" s="30"/>
      <c r="AD361" s="30"/>
      <c r="AE361" s="30"/>
      <c r="AF361" s="58"/>
      <c r="AG361" s="30"/>
      <c r="AH361" s="30"/>
      <c r="AI361" s="30"/>
      <c r="AJ361" s="504"/>
      <c r="AK361" s="504"/>
      <c r="AL361" s="342"/>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hidden="1" customHeight="1" thickBot="1">
      <c r="A362" s="808"/>
      <c r="B362" s="166"/>
      <c r="C362" s="166"/>
      <c r="D362" s="166"/>
      <c r="E362" s="1550" t="str">
        <f>IF(E359="","",IF(T360=TRUE,HYPERLINK("#JUMP_14",EUconst_MsgGoOnPFC),HYPERLINK("#JUMP_E_8",EUconst_FurtherGuidancePoint1)))</f>
        <v/>
      </c>
      <c r="F362" s="1550"/>
      <c r="G362" s="1550"/>
      <c r="H362" s="1550"/>
      <c r="I362" s="1550"/>
      <c r="J362" s="1550"/>
      <c r="K362" s="1550"/>
      <c r="L362" s="1550"/>
      <c r="M362" s="1550"/>
      <c r="N362" s="143"/>
      <c r="O362" s="733"/>
      <c r="P362" s="33"/>
      <c r="Q362" s="352" t="str">
        <f>EUconst_SumNonSustBioCO2 &amp; "_" &amp; K359</f>
        <v>SUM_bioNonSustCO2_</v>
      </c>
      <c r="R362" s="707"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4"/>
      <c r="AK362" s="504"/>
      <c r="AL362" s="342"/>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4.5" hidden="1" customHeight="1">
      <c r="A363" s="808"/>
      <c r="B363" s="166"/>
      <c r="C363" s="166"/>
      <c r="D363" s="166"/>
      <c r="E363" s="166"/>
      <c r="F363" s="166"/>
      <c r="G363" s="166"/>
      <c r="M363" s="143"/>
      <c r="N363" s="143"/>
      <c r="O363" s="733"/>
      <c r="P363" s="23"/>
      <c r="Q363" s="23"/>
      <c r="R363" s="23"/>
      <c r="S363" s="23"/>
      <c r="T363" s="23"/>
      <c r="U363" s="23"/>
      <c r="V363" s="30"/>
      <c r="W363" s="30"/>
      <c r="X363" s="30"/>
      <c r="Y363" s="494"/>
      <c r="Z363" s="30"/>
      <c r="AA363" s="30"/>
      <c r="AB363" s="30"/>
      <c r="AC363" s="30"/>
      <c r="AD363" s="30"/>
      <c r="AE363" s="30"/>
      <c r="AF363" s="58"/>
      <c r="AG363" s="30"/>
      <c r="AH363" s="30"/>
      <c r="AI363" s="30"/>
      <c r="AJ363" s="504"/>
      <c r="AK363" s="504"/>
      <c r="AL363" s="342"/>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hidden="1" customHeight="1" thickBot="1">
      <c r="A364" s="808"/>
      <c r="B364" s="166"/>
      <c r="C364" s="814" t="s">
        <v>4</v>
      </c>
      <c r="D364" s="512" t="str">
        <f>Translations!$B$622</f>
        <v>VD:</v>
      </c>
      <c r="E364" s="1560" t="str">
        <f>Translations!$B$667</f>
        <v>Ar veiklos duomenys gaunami sudedant išmatuotus kiekius (t. y. ne atliekant nuolatinius matavimus)?</v>
      </c>
      <c r="F364" s="1560"/>
      <c r="G364" s="1560"/>
      <c r="H364" s="1560"/>
      <c r="I364" s="1560"/>
      <c r="J364" s="1560"/>
      <c r="K364" s="1560"/>
      <c r="L364" s="1179"/>
      <c r="M364" s="507"/>
      <c r="O364" s="733"/>
      <c r="P364" s="23"/>
      <c r="Q364" s="23"/>
      <c r="R364" s="23"/>
      <c r="S364" s="23"/>
      <c r="T364" s="23"/>
      <c r="U364" s="23"/>
      <c r="V364" s="30"/>
      <c r="W364" s="30"/>
      <c r="X364" s="30"/>
      <c r="Y364" s="494"/>
      <c r="Z364" s="30"/>
      <c r="AA364" s="30"/>
      <c r="AB364" s="30"/>
      <c r="AC364" s="1172" t="b">
        <f>AND(E359&lt;&gt;"",T360&lt;&gt;TRUE)</f>
        <v>0</v>
      </c>
      <c r="AD364" s="30"/>
      <c r="AE364" s="30"/>
      <c r="AF364" s="58"/>
      <c r="AG364" s="30"/>
      <c r="AH364" s="30"/>
      <c r="AI364" s="30"/>
      <c r="AJ364" s="504"/>
      <c r="AK364" s="504"/>
      <c r="AL364" s="342"/>
      <c r="AM364" s="30"/>
      <c r="AN364" s="30"/>
      <c r="AO364" s="30"/>
      <c r="AP364" s="30"/>
      <c r="AQ364" s="30"/>
      <c r="AR364" s="30"/>
      <c r="AS364" s="30"/>
      <c r="AT364" s="1172"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2" t="b">
        <f>OR(CNTR_CalcRelevant=EUconst_NotRelevant,AND(COUNTA(CNTR_ListRelevantSections)&gt;0,OR(T360=TRUE,E359="")))</f>
        <v>1</v>
      </c>
    </row>
    <row r="365" spans="1:78" s="142" customFormat="1" ht="5.0999999999999996" hidden="1" customHeight="1">
      <c r="A365" s="808"/>
      <c r="B365" s="166"/>
      <c r="C365" s="166"/>
      <c r="D365" s="166"/>
      <c r="E365" s="166"/>
      <c r="F365" s="166"/>
      <c r="G365" s="166"/>
      <c r="H365" s="495"/>
      <c r="I365" s="495"/>
      <c r="J365" s="495"/>
      <c r="K365" s="495"/>
      <c r="L365" s="495"/>
      <c r="M365" s="507"/>
      <c r="O365" s="733"/>
      <c r="P365" s="23"/>
      <c r="Q365" s="23"/>
      <c r="R365" s="23"/>
      <c r="S365" s="23"/>
      <c r="T365" s="23"/>
      <c r="U365" s="23"/>
      <c r="V365" s="30"/>
      <c r="W365" s="30"/>
      <c r="X365" s="30"/>
      <c r="Y365" s="494"/>
      <c r="Z365" s="30"/>
      <c r="AA365" s="30"/>
      <c r="AB365" s="30"/>
      <c r="AC365" s="492"/>
      <c r="AD365" s="30"/>
      <c r="AE365" s="30"/>
      <c r="AF365" s="58"/>
      <c r="AG365" s="30"/>
      <c r="AH365" s="30"/>
      <c r="AI365" s="30"/>
      <c r="AJ365" s="504"/>
      <c r="AK365" s="504"/>
      <c r="AL365" s="342"/>
      <c r="AM365" s="30"/>
      <c r="AN365" s="30"/>
      <c r="AO365" s="30"/>
      <c r="AP365" s="30"/>
      <c r="AQ365" s="30"/>
      <c r="AR365" s="30"/>
      <c r="AS365" s="30"/>
      <c r="AT365" s="492"/>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2"/>
    </row>
    <row r="366" spans="1:78" s="142" customFormat="1" ht="12.75" hidden="1" customHeight="1" thickBot="1">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3"/>
      <c r="Q366" s="23"/>
      <c r="R366" s="23"/>
      <c r="S366" s="23"/>
      <c r="T366" s="23"/>
      <c r="U366" s="23"/>
      <c r="V366" s="30"/>
      <c r="W366" s="30"/>
      <c r="X366" s="30"/>
      <c r="Y366" s="494"/>
      <c r="Z366" s="30"/>
      <c r="AA366" s="30"/>
      <c r="AB366" s="30"/>
      <c r="AC366" s="1172" t="b">
        <f>AC364</f>
        <v>0</v>
      </c>
      <c r="AD366" s="30"/>
      <c r="AE366" s="30"/>
      <c r="AF366" s="58"/>
      <c r="AG366" s="30"/>
      <c r="AH366" s="30"/>
      <c r="AI366" s="30"/>
      <c r="AJ366" s="504"/>
      <c r="AK366" s="504"/>
      <c r="AL366" s="342"/>
      <c r="AM366" s="30"/>
      <c r="AN366" s="30"/>
      <c r="AO366" s="30"/>
      <c r="AP366" s="30"/>
      <c r="AQ366" s="30"/>
      <c r="AR366" s="30"/>
      <c r="AS366" s="30"/>
      <c r="AT366" s="1172"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2" t="b">
        <f>OR(BZ364,AND(NOT(ISBLANK(L364)),L364=FALSE))</f>
        <v>1</v>
      </c>
    </row>
    <row r="367" spans="1:78" s="142" customFormat="1" ht="5.0999999999999996" hidden="1" customHeight="1">
      <c r="A367" s="808"/>
      <c r="B367" s="166"/>
      <c r="C367" s="166"/>
      <c r="D367" s="166"/>
      <c r="E367" s="166"/>
      <c r="F367" s="166"/>
      <c r="G367" s="166"/>
      <c r="M367" s="143"/>
      <c r="N367" s="143"/>
      <c r="O367" s="733"/>
      <c r="P367" s="23"/>
      <c r="Q367" s="23"/>
      <c r="R367" s="23"/>
      <c r="S367" s="23"/>
      <c r="T367" s="23"/>
      <c r="U367" s="23"/>
      <c r="V367" s="30"/>
      <c r="W367" s="30"/>
      <c r="X367" s="30"/>
      <c r="Y367" s="494"/>
      <c r="Z367" s="30"/>
      <c r="AA367" s="30"/>
      <c r="AB367" s="30"/>
      <c r="AC367" s="30"/>
      <c r="AD367" s="30"/>
      <c r="AE367" s="30"/>
      <c r="AF367" s="58"/>
      <c r="AG367" s="30"/>
      <c r="AH367" s="30"/>
      <c r="AI367" s="30"/>
      <c r="AJ367" s="504"/>
      <c r="AK367" s="504"/>
      <c r="AL367" s="342"/>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hidden="1" customHeight="1" thickBot="1">
      <c r="A368" s="808"/>
      <c r="B368" s="166"/>
      <c r="C368" s="166"/>
      <c r="D368" s="166"/>
      <c r="E368" s="166"/>
      <c r="F368" s="506" t="str">
        <f>Translations!$B$333</f>
        <v>Pakopa</v>
      </c>
      <c r="G368" s="1557" t="str">
        <f>Translations!$B$672</f>
        <v>pakopos aprašas</v>
      </c>
      <c r="H368" s="1557"/>
      <c r="I368" s="1555" t="str">
        <f>Translations!$B$158</f>
        <v>Vienetas</v>
      </c>
      <c r="J368" s="1555"/>
      <c r="K368" s="1555" t="str">
        <f>Translations!$B$673</f>
        <v>Vertė</v>
      </c>
      <c r="L368" s="1555"/>
      <c r="M368" s="507" t="str">
        <f>Translations!$B$610</f>
        <v>klaida</v>
      </c>
      <c r="O368" s="733"/>
      <c r="P368" s="508"/>
      <c r="Q368" s="352" t="str">
        <f>EUconst_SumEnergyIN &amp; "_" &amp; K359</f>
        <v>SUM_EnergyIN_</v>
      </c>
      <c r="R368" s="399" t="str">
        <f>IF(OR(K359="",T360)=TRUE,"",INDEX(BC374:BE374,MATCH(K359,BC369:BE369,0)))</f>
        <v/>
      </c>
      <c r="S368" s="30"/>
      <c r="T368" s="489"/>
      <c r="U368" s="30"/>
      <c r="V368" s="509" t="s">
        <v>303</v>
      </c>
      <c r="W368" s="30"/>
      <c r="X368" s="30"/>
      <c r="Y368" s="494" t="s">
        <v>566</v>
      </c>
      <c r="Z368" s="494" t="s">
        <v>318</v>
      </c>
      <c r="AA368" s="30"/>
      <c r="AB368" s="30"/>
      <c r="AC368" s="505" t="s">
        <v>309</v>
      </c>
      <c r="AD368" s="30"/>
      <c r="AE368" s="30"/>
      <c r="AF368" s="492" t="s">
        <v>305</v>
      </c>
      <c r="AG368" s="492" t="s">
        <v>306</v>
      </c>
      <c r="AH368" s="494" t="s">
        <v>304</v>
      </c>
      <c r="AI368" s="504" t="s">
        <v>307</v>
      </c>
      <c r="AJ368" s="504" t="s">
        <v>567</v>
      </c>
      <c r="AK368" s="510" t="s">
        <v>311</v>
      </c>
      <c r="AL368" s="342"/>
      <c r="AM368" s="30"/>
      <c r="AN368" s="492" t="s">
        <v>305</v>
      </c>
      <c r="AO368" s="492" t="s">
        <v>306</v>
      </c>
      <c r="AP368" s="511" t="s">
        <v>310</v>
      </c>
      <c r="AQ368" s="504" t="s">
        <v>569</v>
      </c>
      <c r="AR368" s="504" t="s">
        <v>568</v>
      </c>
      <c r="AS368" s="510" t="s">
        <v>311</v>
      </c>
      <c r="AT368" s="510" t="s">
        <v>311</v>
      </c>
      <c r="AU368" s="30"/>
      <c r="AV368" s="492"/>
      <c r="AW368" s="492"/>
      <c r="AX368" s="492" t="s">
        <v>321</v>
      </c>
      <c r="AY368" s="492"/>
      <c r="AZ368" s="492"/>
      <c r="BA368" s="492"/>
      <c r="BB368" s="492"/>
      <c r="BC368" s="492"/>
      <c r="BD368" s="492"/>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3" t="s">
        <v>262</v>
      </c>
    </row>
    <row r="369" spans="1:78" s="142" customFormat="1" ht="12.75" hidden="1" customHeight="1" thickBot="1">
      <c r="A369" s="808"/>
      <c r="B369" s="166"/>
      <c r="C369" s="777" t="s">
        <v>196</v>
      </c>
      <c r="D369" s="512" t="str">
        <f>Translations!$B$622</f>
        <v>VD:</v>
      </c>
      <c r="E369" s="513"/>
      <c r="F369" s="402"/>
      <c r="G369" s="1532" t="str">
        <f>IF(OR(ISBLANK(F369),F369=EUconst_NoTier),"",IF(Z369=0,EUconst_NA,IF(ISERROR(Z369),"",Z369)))</f>
        <v/>
      </c>
      <c r="H369" s="1533"/>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0"/>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0"/>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0"/>
      <c r="AV369" s="492" t="s">
        <v>314</v>
      </c>
      <c r="AW369" s="492" t="s">
        <v>319</v>
      </c>
      <c r="AX369" s="524"/>
      <c r="AY369" s="30" t="s">
        <v>542</v>
      </c>
      <c r="AZ369" s="30"/>
      <c r="BA369" s="30"/>
      <c r="BB369" s="504"/>
      <c r="BC369" s="493" t="str">
        <f>EUconst_Fuel</f>
        <v>Degimas</v>
      </c>
      <c r="BD369" s="493" t="str">
        <f>EUconst_ProcessCarbonate</f>
        <v>Proceso metu išsiskiriančios ŠESD</v>
      </c>
      <c r="BE369" s="493"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4" t="b">
        <f>BZ364</f>
        <v>1</v>
      </c>
    </row>
    <row r="370" spans="1:78" s="142" customFormat="1" ht="4.5" hidden="1" customHeight="1">
      <c r="A370" s="808"/>
      <c r="B370" s="166"/>
      <c r="C370" s="814"/>
      <c r="D370" s="306"/>
      <c r="F370" s="143"/>
      <c r="G370" s="143"/>
      <c r="H370" s="143" t="s">
        <v>236</v>
      </c>
      <c r="I370" s="525"/>
      <c r="J370" s="525"/>
      <c r="K370" s="143"/>
      <c r="L370" s="143"/>
      <c r="M370" s="710"/>
      <c r="O370" s="733"/>
      <c r="P370" s="33"/>
      <c r="Q370" s="33"/>
      <c r="R370" s="33"/>
      <c r="S370" s="30"/>
      <c r="T370" s="155"/>
      <c r="U370" s="497"/>
      <c r="V370" s="30"/>
      <c r="W370" s="30"/>
      <c r="X370" s="497"/>
      <c r="Y370" s="526"/>
      <c r="Z370" s="30"/>
      <c r="AA370" s="30"/>
      <c r="AB370" s="30"/>
      <c r="AC370" s="30"/>
      <c r="AD370" s="30"/>
      <c r="AE370" s="30"/>
      <c r="AF370" s="30"/>
      <c r="AG370" s="30"/>
      <c r="AH370" s="30"/>
      <c r="AI370" s="30"/>
      <c r="AJ370" s="30"/>
      <c r="AK370" s="30"/>
      <c r="AL370" s="342"/>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3"/>
    </row>
    <row r="371" spans="1:78" s="142" customFormat="1" ht="12.75" hidden="1" customHeight="1" thickBot="1">
      <c r="A371" s="808"/>
      <c r="B371" s="166"/>
      <c r="C371" s="814" t="s">
        <v>197</v>
      </c>
      <c r="D371" s="512" t="str">
        <f>Translations!$B$634</f>
        <v>(prelim.) ITF:</v>
      </c>
      <c r="E371" s="513"/>
      <c r="F371" s="527"/>
      <c r="G371" s="1532" t="str">
        <f t="shared" ref="G371:G377" si="77">IF(OR(ISBLANK(F371),F371=EUconst_NoTier),"",IF(Z371=0,EUconst_NotApplicable,IF(ISERROR(Z371),"",Z371)))</f>
        <v/>
      </c>
      <c r="H371" s="1556"/>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3"/>
      <c r="Q371" s="33"/>
      <c r="R371" s="33"/>
      <c r="S371" s="30"/>
      <c r="T371" s="530" t="str">
        <f>EUconst_CNTR_EF&amp;E360</f>
        <v>EF_</v>
      </c>
      <c r="U371" s="497"/>
      <c r="V371" s="531" t="str">
        <f>V369</f>
        <v/>
      </c>
      <c r="W371" s="30"/>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0"/>
      <c r="AC371" s="535" t="b">
        <f>AND(AC369,Y371&lt;&gt;EUconst_NA)</f>
        <v>0</v>
      </c>
      <c r="AD371" s="30"/>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0"/>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0"/>
      <c r="BA371" s="30"/>
      <c r="BB371" s="547" t="s">
        <v>594</v>
      </c>
      <c r="BC371" s="546" t="str">
        <f>IF(K359=BC369,AR369*IF(AJ371=EUconst_tCO2pTJ,(AR372/1000),1)*AR371*AR373*AR377,"")</f>
        <v/>
      </c>
      <c r="BD371" s="524" t="str">
        <f>IF(K359=BD369,AR369*AR371*AR374*AR377,"")</f>
        <v/>
      </c>
      <c r="BE371" s="523"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1" t="b">
        <f>OR(BZ369,Y371=EUconst_NA)</f>
        <v>1</v>
      </c>
    </row>
    <row r="372" spans="1:78" s="142" customFormat="1" ht="12.75" hidden="1" customHeight="1" thickBot="1">
      <c r="A372" s="808"/>
      <c r="B372" s="166"/>
      <c r="C372" s="814" t="s">
        <v>198</v>
      </c>
      <c r="D372" s="512" t="str">
        <f>Translations!$B$636</f>
        <v>GŠV:</v>
      </c>
      <c r="E372" s="513"/>
      <c r="F372" s="548"/>
      <c r="G372" s="1532" t="str">
        <f t="shared" si="77"/>
        <v/>
      </c>
      <c r="H372" s="1533"/>
      <c r="I372" s="1169" t="str">
        <f>AJ372</f>
        <v/>
      </c>
      <c r="J372" s="549"/>
      <c r="K372" s="550" t="str">
        <f t="shared" si="78"/>
        <v/>
      </c>
      <c r="L372" s="551"/>
      <c r="M372" s="709" t="str">
        <f>IF(AND(E360&lt;&gt;"",OR(F372="",COUNT(K372:L372)=0),Y372&lt;&gt;EUconst_NA,T360&lt;&gt;TRUE),EUconst_ERR_Incomplete,IF(COUNTIF(AX372:AZ372,TRUE)&gt;0,EUconst_ERR_Inconsistent,""))</f>
        <v/>
      </c>
      <c r="O372" s="733"/>
      <c r="P372" s="33"/>
      <c r="Q372" s="33"/>
      <c r="R372" s="33"/>
      <c r="S372" s="30"/>
      <c r="T372" s="552" t="str">
        <f>EUconst_CNTR_NCV&amp;E360</f>
        <v>NCV_</v>
      </c>
      <c r="U372" s="497"/>
      <c r="V372" s="553" t="str">
        <f t="shared" ref="V372:V377" si="83">V371</f>
        <v/>
      </c>
      <c r="W372" s="30"/>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0"/>
      <c r="AC372" s="557" t="b">
        <f>AND(AC369,Y372&lt;&gt;EUconst_NA)</f>
        <v>0</v>
      </c>
      <c r="AD372" s="30"/>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0"/>
      <c r="AV372" s="567" t="b">
        <f t="shared" si="80"/>
        <v>0</v>
      </c>
      <c r="AW372" s="568" t="b">
        <f t="shared" si="81"/>
        <v>0</v>
      </c>
      <c r="AX372" s="30"/>
      <c r="AY372" s="553" t="b">
        <f t="shared" si="82"/>
        <v>0</v>
      </c>
      <c r="AZ372" s="30"/>
      <c r="BA372" s="30"/>
      <c r="BB372" s="547" t="s">
        <v>595</v>
      </c>
      <c r="BC372" s="546" t="str">
        <f>IF(K359=BC369,AR369*IF(AJ371=EUconst_tCO2pTJ,(AR372/1000),1)*AR371*AR373*AR376,"")</f>
        <v/>
      </c>
      <c r="BD372" s="524" t="str">
        <f>IF(K359=BD369,AR369*AR371*AR374*AR376,"")</f>
        <v/>
      </c>
      <c r="BE372" s="523"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3" t="b">
        <f>OR(BZ369,Y372=EUconst_NA)</f>
        <v>1</v>
      </c>
    </row>
    <row r="373" spans="1:78" s="142" customFormat="1" ht="12.75" hidden="1" customHeight="1" thickBot="1">
      <c r="A373" s="808"/>
      <c r="B373" s="166"/>
      <c r="C373" s="814" t="s">
        <v>199</v>
      </c>
      <c r="D373" s="512" t="str">
        <f>Translations!$B$638</f>
        <v>OksK:</v>
      </c>
      <c r="E373" s="513"/>
      <c r="F373" s="548"/>
      <c r="G373" s="1532" t="str">
        <f t="shared" si="77"/>
        <v/>
      </c>
      <c r="H373" s="1533"/>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3"/>
      <c r="Q373" s="33"/>
      <c r="R373" s="33"/>
      <c r="S373" s="30"/>
      <c r="T373" s="552" t="str">
        <f>EUconst_CNTR_OxidationFactor&amp;E360</f>
        <v>OxF_</v>
      </c>
      <c r="U373" s="497"/>
      <c r="V373" s="553" t="str">
        <f t="shared" si="83"/>
        <v/>
      </c>
      <c r="W373" s="30"/>
      <c r="X373" s="497"/>
      <c r="Y373" s="554" t="str">
        <f>IF(OR(T360=TRUE,E360=""),"",INDEX(EUwideConstants!$N:$N,MATCH(T373,EUwideConstants!$Q:$Q,0)))</f>
        <v/>
      </c>
      <c r="Z373" s="555" t="str">
        <f>IF(ISBLANK(F373),"",IF(F373=EUconst_NA,"",INDEX(EUwideConstants!$H:$M,MATCH(T373,EUwideConstants!$Q:$Q,0),MATCH(F373,CNTR_TierList,0))))</f>
        <v/>
      </c>
      <c r="AA373" s="534" t="str">
        <f>IF(F373=1,1,"")</f>
        <v/>
      </c>
      <c r="AB373" s="30"/>
      <c r="AC373" s="557" t="b">
        <f>AND(AC369,Y373&lt;&gt;EUconst_NA)</f>
        <v>0</v>
      </c>
      <c r="AD373" s="30"/>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0"/>
      <c r="AV373" s="567" t="b">
        <f t="shared" si="80"/>
        <v>0</v>
      </c>
      <c r="AW373" s="568" t="b">
        <f t="shared" si="81"/>
        <v>0</v>
      </c>
      <c r="AX373" s="30"/>
      <c r="AY373" s="594" t="b">
        <f t="shared" si="82"/>
        <v>0</v>
      </c>
      <c r="AZ373" s="531" t="b">
        <f>AR373&gt;100%</f>
        <v>0</v>
      </c>
      <c r="BA373" s="30"/>
      <c r="BB373" s="547" t="s">
        <v>290</v>
      </c>
      <c r="BC373" s="546" t="str">
        <f>IF(K359=BC369,AR369*IF(AJ371=EUconst_tCO2pTJ,(AR372/1000),1)*AR371*AR373*(1-AR376),"")</f>
        <v/>
      </c>
      <c r="BD373" s="524" t="str">
        <f>IF(K359=BD369,AR369*AR371*AR374*(1-AR376),"")</f>
        <v/>
      </c>
      <c r="BE373" s="523"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3" t="b">
        <f>OR(BZ369,Y373=EUconst_NA)</f>
        <v>1</v>
      </c>
    </row>
    <row r="374" spans="1:78" s="142" customFormat="1" ht="12.75" hidden="1" customHeight="1" thickBot="1">
      <c r="A374" s="808"/>
      <c r="B374" s="166"/>
      <c r="C374" s="814" t="s">
        <v>200</v>
      </c>
      <c r="D374" s="512" t="str">
        <f>Translations!$B$639</f>
        <v>KonvK:</v>
      </c>
      <c r="E374" s="513"/>
      <c r="F374" s="548"/>
      <c r="G374" s="1532" t="str">
        <f t="shared" si="77"/>
        <v/>
      </c>
      <c r="H374" s="1533"/>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3"/>
      <c r="Q374" s="33"/>
      <c r="R374" s="33"/>
      <c r="S374" s="30"/>
      <c r="T374" s="552" t="str">
        <f>EUconst_CNTR_ConversionFactor&amp;E360</f>
        <v>ConvF_</v>
      </c>
      <c r="U374" s="497"/>
      <c r="V374" s="553" t="str">
        <f t="shared" si="83"/>
        <v/>
      </c>
      <c r="W374" s="30"/>
      <c r="X374" s="497"/>
      <c r="Y374" s="554" t="str">
        <f>IF(OR(T360=TRUE,E360=""),"",INDEX(EUwideConstants!$N:$N,MATCH(T374,EUwideConstants!$Q:$Q,0)))</f>
        <v/>
      </c>
      <c r="Z374" s="555" t="str">
        <f>IF(ISBLANK(F374),"",IF(F374=EUconst_NA,"",INDEX(EUwideConstants!$H:$M,MATCH(T374,EUwideConstants!$Q:$Q,0),MATCH(F374,CNTR_TierList,0))))</f>
        <v/>
      </c>
      <c r="AA374" s="582" t="str">
        <f>IF(F374=1,1,"")</f>
        <v/>
      </c>
      <c r="AB374" s="30"/>
      <c r="AC374" s="557" t="b">
        <f>AND(AC369,Y374&lt;&gt;EUconst_NA)</f>
        <v>0</v>
      </c>
      <c r="AD374" s="30"/>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0"/>
      <c r="AV374" s="567" t="b">
        <f t="shared" si="80"/>
        <v>0</v>
      </c>
      <c r="AW374" s="568" t="b">
        <f t="shared" si="81"/>
        <v>0</v>
      </c>
      <c r="AX374" s="30"/>
      <c r="AY374" s="594" t="b">
        <f t="shared" si="82"/>
        <v>0</v>
      </c>
      <c r="AZ374" s="580" t="b">
        <f>AR374&gt;100%</f>
        <v>0</v>
      </c>
      <c r="BA374" s="30"/>
      <c r="BB374" s="578" t="s">
        <v>487</v>
      </c>
      <c r="BC374" s="579">
        <f>AR369*AR372/1000*(1-AR376)</f>
        <v>0</v>
      </c>
      <c r="BD374" s="580">
        <f>BC374</f>
        <v>0</v>
      </c>
      <c r="BE374" s="581">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3" t="b">
        <f>OR(BZ369,Y374=EUconst_NA)</f>
        <v>1</v>
      </c>
    </row>
    <row r="375" spans="1:78" s="142" customFormat="1" ht="12.75" hidden="1" customHeight="1" thickBot="1">
      <c r="A375" s="808"/>
      <c r="B375" s="166"/>
      <c r="C375" s="814" t="s">
        <v>329</v>
      </c>
      <c r="D375" s="512" t="str">
        <f>Translations!$B$640</f>
        <v>AnglK:</v>
      </c>
      <c r="E375" s="513"/>
      <c r="F375" s="548"/>
      <c r="G375" s="1532" t="str">
        <f t="shared" si="77"/>
        <v/>
      </c>
      <c r="H375" s="1533"/>
      <c r="I375" s="1170" t="str">
        <f>AJ375</f>
        <v/>
      </c>
      <c r="J375" s="586"/>
      <c r="K375" s="587" t="str">
        <f t="shared" si="78"/>
        <v/>
      </c>
      <c r="L375" s="588"/>
      <c r="M375" s="709" t="str">
        <f>IF(AND(E360&lt;&gt;"",OR(F375="",COUNT(K375:L375)=0),Y375&lt;&gt;EUconst_NA,T360&lt;&gt;TRUE),EUconst_ERR_Incomplete,IF(COUNTIF(AX375:AZ375,TRUE)&gt;0,EUconst_ERR_Inconsistent,""))</f>
        <v/>
      </c>
      <c r="O375" s="733"/>
      <c r="P375" s="33"/>
      <c r="Q375" s="33"/>
      <c r="R375" s="33"/>
      <c r="S375" s="30"/>
      <c r="T375" s="552" t="str">
        <f>EUconst_CNTR_CarbonContent&amp;E360</f>
        <v>CarbC_</v>
      </c>
      <c r="U375" s="497"/>
      <c r="V375" s="553" t="str">
        <f t="shared" si="83"/>
        <v/>
      </c>
      <c r="W375" s="30"/>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0"/>
      <c r="AC375" s="557" t="b">
        <f>AND(AC369,Y375&lt;&gt;EUconst_NA)</f>
        <v>0</v>
      </c>
      <c r="AD375" s="30"/>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0"/>
      <c r="AV375" s="567" t="b">
        <f t="shared" si="80"/>
        <v>0</v>
      </c>
      <c r="AW375" s="568" t="b">
        <f t="shared" si="81"/>
        <v>0</v>
      </c>
      <c r="AX375" s="546" t="b">
        <f>OR(AND(AJ369=EUconst_kNm3,AJ375=EUconst_tCpt),AND(AJ369=EUconst_t,AJ375=EUconst_tCpkNm3))</f>
        <v>0</v>
      </c>
      <c r="AY375" s="553" t="b">
        <f t="shared" si="82"/>
        <v>0</v>
      </c>
      <c r="AZ375" s="30"/>
      <c r="BA375" s="30"/>
      <c r="BB375" s="578" t="s">
        <v>488</v>
      </c>
      <c r="BC375" s="579">
        <f>AR369*AR372/1000*AR376</f>
        <v>0</v>
      </c>
      <c r="BD375" s="580">
        <f>BC375</f>
        <v>0</v>
      </c>
      <c r="BE375" s="581">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3" t="b">
        <f>OR(BZ369,Y375=EUconst_NA)</f>
        <v>1</v>
      </c>
    </row>
    <row r="376" spans="1:78" s="142" customFormat="1" ht="12.75" hidden="1" customHeight="1">
      <c r="A376" s="808"/>
      <c r="B376" s="166"/>
      <c r="C376" s="777" t="s">
        <v>330</v>
      </c>
      <c r="D376" s="512" t="str">
        <f>Translations!$B$641</f>
        <v>BioC:</v>
      </c>
      <c r="E376" s="513"/>
      <c r="F376" s="548"/>
      <c r="G376" s="1532" t="str">
        <f t="shared" si="77"/>
        <v/>
      </c>
      <c r="H376" s="1533"/>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0"/>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0"/>
      <c r="AC376" s="557" t="b">
        <f>AND(AC369,Y376&lt;&gt;EUconst_NA)</f>
        <v>0</v>
      </c>
      <c r="AD376" s="30"/>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0"/>
      <c r="AV376" s="567" t="b">
        <f t="shared" si="80"/>
        <v>0</v>
      </c>
      <c r="AW376" s="568" t="b">
        <f t="shared" si="81"/>
        <v>0</v>
      </c>
      <c r="AX376" s="30"/>
      <c r="AY376" s="594" t="b">
        <f t="shared" si="82"/>
        <v>0</v>
      </c>
      <c r="AZ376" s="531"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3" t="b">
        <f>OR(BZ369,Y376=EUconst_NA)</f>
        <v>1</v>
      </c>
    </row>
    <row r="377" spans="1:78" s="142" customFormat="1" ht="12.75" hidden="1" customHeight="1" thickBot="1">
      <c r="A377" s="808"/>
      <c r="B377" s="166"/>
      <c r="C377" s="777" t="s">
        <v>454</v>
      </c>
      <c r="D377" s="512" t="str">
        <f>Translations!$B$647</f>
        <v>Netvar. BioC:</v>
      </c>
      <c r="E377" s="513"/>
      <c r="F377" s="597"/>
      <c r="G377" s="1532" t="str">
        <f t="shared" si="77"/>
        <v/>
      </c>
      <c r="H377" s="1533"/>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0"/>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0"/>
      <c r="AC377" s="603" t="b">
        <f>AND(AC369,Y377&lt;&gt;EUconst_NA)</f>
        <v>0</v>
      </c>
      <c r="AD377" s="30"/>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0"/>
      <c r="AV377" s="613" t="b">
        <f t="shared" si="80"/>
        <v>0</v>
      </c>
      <c r="AW377" s="614" t="b">
        <f t="shared" si="81"/>
        <v>0</v>
      </c>
      <c r="AX377" s="30"/>
      <c r="AY377" s="579" t="b">
        <f t="shared" si="82"/>
        <v>0</v>
      </c>
      <c r="AZ377" s="580"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80" t="b">
        <f>OR(BZ369,Y377=EUconst_NA)</f>
        <v>1</v>
      </c>
    </row>
    <row r="378" spans="1:78" s="142" customFormat="1" ht="4.5" hidden="1" customHeight="1">
      <c r="A378" s="808"/>
      <c r="B378" s="166"/>
      <c r="C378" s="166"/>
      <c r="D378" s="180"/>
      <c r="O378" s="733"/>
      <c r="P378" s="33"/>
      <c r="Q378" s="33"/>
      <c r="R378" s="33"/>
      <c r="S378" s="174"/>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hidden="1" customHeight="1">
      <c r="A379" s="808"/>
      <c r="B379" s="166"/>
      <c r="C379" s="166"/>
      <c r="D379" s="1558" t="str">
        <f>Translations!$B$674</f>
        <v>Pakopos galioja nuo:</v>
      </c>
      <c r="E379" s="1558"/>
      <c r="F379" s="1559"/>
      <c r="G379" s="1052"/>
      <c r="H379" s="615" t="str">
        <f>Translations!$B$675</f>
        <v>iki:</v>
      </c>
      <c r="I379" s="1052"/>
      <c r="J379" s="1536" t="str">
        <f>Translations!$B$676</f>
        <v>Atliekų katalogo numeris (jeigu taikytina):</v>
      </c>
      <c r="K379" s="1537"/>
      <c r="L379" s="1537"/>
      <c r="M379" s="1538"/>
      <c r="N379" s="1289"/>
      <c r="O379" s="733"/>
      <c r="P379" s="33"/>
      <c r="Q379" s="33"/>
      <c r="R379" s="33"/>
      <c r="S379" s="1290"/>
      <c r="T379" s="492"/>
      <c r="U379" s="492"/>
      <c r="V379" s="48" t="b">
        <f>IF(V369="",FALSE,INDEX(CNTR_IsWaste,MATCH(V369,MSParameters!$A$218:$A$376,0)))</f>
        <v>0</v>
      </c>
      <c r="W379" s="1290"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4.5" hidden="1" customHeight="1">
      <c r="A380" s="808"/>
      <c r="B380" s="166"/>
      <c r="C380" s="166"/>
      <c r="D380" s="615"/>
      <c r="E380" s="495"/>
      <c r="F380" s="495"/>
      <c r="G380" s="495"/>
      <c r="H380" s="495"/>
      <c r="I380" s="495"/>
      <c r="J380" s="495"/>
      <c r="K380" s="495"/>
      <c r="L380" s="495"/>
      <c r="M380" s="495"/>
      <c r="N380" s="495"/>
      <c r="O380" s="733"/>
      <c r="P380" s="33"/>
      <c r="Q380" s="33"/>
      <c r="R380" s="33"/>
      <c r="S380" s="174"/>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hidden="1" customHeight="1">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3"/>
      <c r="Q381" s="33"/>
      <c r="R381" s="33"/>
      <c r="S381" s="174"/>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4.5" hidden="1" customHeight="1">
      <c r="A382" s="815"/>
      <c r="D382" s="180"/>
      <c r="O382" s="573"/>
      <c r="P382" s="497"/>
      <c r="Q382" s="497"/>
      <c r="R382" s="497"/>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hidden="1">
      <c r="A383" s="815"/>
      <c r="D383" s="1534" t="str">
        <f>Translations!$B$160</f>
        <v>Pastabos:</v>
      </c>
      <c r="E383" s="1535"/>
      <c r="F383" s="1539"/>
      <c r="G383" s="1540"/>
      <c r="H383" s="1540"/>
      <c r="I383" s="1540"/>
      <c r="J383" s="1540"/>
      <c r="K383" s="1540"/>
      <c r="L383" s="1540"/>
      <c r="M383" s="1540"/>
      <c r="N383" s="1541"/>
      <c r="O383" s="573"/>
      <c r="P383" s="497"/>
      <c r="Q383" s="497"/>
      <c r="R383" s="497"/>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c r="A384" s="808"/>
      <c r="B384" s="495"/>
      <c r="C384" s="499"/>
      <c r="D384" s="500"/>
      <c r="E384" s="501"/>
      <c r="F384" s="499"/>
      <c r="G384" s="502"/>
      <c r="H384" s="502"/>
      <c r="I384" s="502"/>
      <c r="J384" s="502"/>
      <c r="K384" s="502"/>
      <c r="L384" s="502"/>
      <c r="M384" s="502"/>
      <c r="N384" s="502"/>
      <c r="O384" s="740"/>
      <c r="P384" s="494"/>
      <c r="Q384" s="494"/>
      <c r="R384" s="494"/>
      <c r="S384" s="58"/>
      <c r="T384" s="58"/>
      <c r="U384" s="498"/>
      <c r="V384" s="58"/>
      <c r="W384" s="58"/>
      <c r="X384" s="49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c r="A385" s="813"/>
      <c r="B385" s="495"/>
      <c r="C385" s="495"/>
      <c r="D385" s="180"/>
      <c r="E385" s="496"/>
      <c r="F385" s="495"/>
      <c r="G385" s="487"/>
      <c r="H385" s="487"/>
      <c r="I385" s="487"/>
      <c r="J385" s="487"/>
      <c r="K385" s="495"/>
      <c r="L385" s="487"/>
      <c r="M385" s="487"/>
      <c r="N385" s="487"/>
      <c r="O385" s="740"/>
      <c r="P385" s="494"/>
      <c r="Q385" s="494"/>
      <c r="R385" s="494"/>
      <c r="S385" s="23"/>
      <c r="T385" s="27" t="str">
        <f>IF(ISBLANK(E386),"",MATCH(E386,CNTR_SourceStreamNames,0))</f>
        <v/>
      </c>
      <c r="U385" s="618"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1"/>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3" t="s">
        <v>262</v>
      </c>
    </row>
    <row r="386" spans="1:78" s="142" customFormat="1" ht="15" hidden="1" customHeight="1" thickBot="1">
      <c r="A386" s="869" t="str">
        <f>IF(E386="","","PRINT")</f>
        <v/>
      </c>
      <c r="B386" s="166"/>
      <c r="C386" s="617">
        <f>C359+1</f>
        <v>13</v>
      </c>
      <c r="D386" s="166"/>
      <c r="E386" s="1542"/>
      <c r="F386" s="1543"/>
      <c r="G386" s="1543"/>
      <c r="H386" s="1543"/>
      <c r="I386" s="1543"/>
      <c r="J386" s="1544"/>
      <c r="K386" s="1545" t="str">
        <f>IF(E387="","",INDEX(EUwideConstants!$F$353:$F$394,MATCH(E387,EUConst_TierActivityListNames,0)))</f>
        <v/>
      </c>
      <c r="L386" s="1546"/>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3"/>
      <c r="T386" s="509" t="s">
        <v>393</v>
      </c>
      <c r="U386" s="23"/>
      <c r="V386" s="78"/>
      <c r="W386" s="56"/>
      <c r="X386" s="58"/>
      <c r="Y386" s="58"/>
      <c r="Z386" s="58"/>
      <c r="AA386" s="58"/>
      <c r="AB386" s="58"/>
      <c r="AC386" s="58"/>
      <c r="AD386" s="58"/>
      <c r="AE386" s="58"/>
      <c r="AF386" s="58"/>
      <c r="AG386" s="58"/>
      <c r="AH386" s="58"/>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6"/>
      <c r="BZ386" s="619" t="b">
        <f>CNTR_CalcRelevant=EUconst_NotRelevant</f>
        <v>0</v>
      </c>
    </row>
    <row r="387" spans="1:78" s="142" customFormat="1" ht="15" hidden="1" customHeight="1" thickBot="1">
      <c r="A387" s="808"/>
      <c r="B387" s="166"/>
      <c r="C387" s="166"/>
      <c r="D387" s="166"/>
      <c r="E387" s="1547" t="str">
        <f>IF(ISBLANK(E386),"",IF(INDEX(B_InstallationDescription!$E$71:$E$145,MATCH(U385,B_InstallationDescription!$D$71:$D$145,0))&gt;0,INDEX(B_InstallationDescription!$E$71:$E$145,MATCH(U385,B_InstallationDescription!$D$71:$D$145,0)),""))</f>
        <v/>
      </c>
      <c r="F387" s="1548"/>
      <c r="G387" s="1548"/>
      <c r="H387" s="1548"/>
      <c r="I387" s="1548"/>
      <c r="J387" s="1549"/>
      <c r="M387" s="346" t="str">
        <f>Translations!$B$666</f>
        <v>CO2, biomasės kilmės.:</v>
      </c>
      <c r="N387" s="1051" t="str">
        <f>IF(OR(K386="",T387=TRUE),"",INDEX(BC399:BE399,MATCH(K386,BC396:BE396,0)))</f>
        <v/>
      </c>
      <c r="O387" s="742" t="s">
        <v>260</v>
      </c>
      <c r="P387" s="494"/>
      <c r="Q387" s="352" t="str">
        <f>EUconst_SumBioCO2 &amp; "_" &amp; K386</f>
        <v>SUM_bioCO2_</v>
      </c>
      <c r="R387" s="494"/>
      <c r="S387" s="23"/>
      <c r="T387" s="48" t="str">
        <f>IF(E387="","",MATCH(E387,EUConst_TierActivityListNames,0)&gt;40)</f>
        <v/>
      </c>
      <c r="U387" s="23"/>
      <c r="V387" s="78"/>
      <c r="W387" s="56"/>
      <c r="X387" s="58"/>
      <c r="Y387" s="27" t="s">
        <v>93</v>
      </c>
      <c r="Z387" s="30"/>
      <c r="AA387" s="30"/>
      <c r="AB387" s="30"/>
      <c r="AC387" s="30"/>
      <c r="AD387" s="30"/>
      <c r="AE387" s="27" t="s">
        <v>302</v>
      </c>
      <c r="AF387" s="58"/>
      <c r="AG387" s="504"/>
      <c r="AH387" s="30"/>
      <c r="AI387" s="30"/>
      <c r="AJ387" s="504"/>
      <c r="AK387" s="504"/>
      <c r="AL387" s="342"/>
      <c r="AM387" s="27" t="s">
        <v>308</v>
      </c>
      <c r="AN387" s="505"/>
      <c r="AO387" s="505"/>
      <c r="AP387" s="30"/>
      <c r="AQ387" s="30"/>
      <c r="AR387" s="30"/>
      <c r="AS387" s="30"/>
      <c r="AT387" s="30"/>
      <c r="AU387" s="30"/>
      <c r="AV387" s="27" t="s">
        <v>315</v>
      </c>
      <c r="AW387" s="30"/>
      <c r="AX387" s="492"/>
      <c r="AY387" s="30"/>
      <c r="AZ387" s="30"/>
      <c r="BA387" s="30"/>
      <c r="BB387" s="27" t="s">
        <v>219</v>
      </c>
      <c r="BC387" s="30"/>
      <c r="BD387" s="30"/>
      <c r="BE387" s="30"/>
      <c r="BF387" s="30"/>
      <c r="BG387" s="27"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0"/>
      <c r="BZ387" s="30"/>
    </row>
    <row r="388" spans="1:78" s="142" customFormat="1" ht="5.0999999999999996" hidden="1" customHeight="1">
      <c r="A388" s="808"/>
      <c r="B388" s="166"/>
      <c r="C388" s="166"/>
      <c r="D388" s="166"/>
      <c r="E388" s="166"/>
      <c r="F388" s="166"/>
      <c r="G388" s="166"/>
      <c r="M388" s="143"/>
      <c r="N388" s="143"/>
      <c r="O388" s="733"/>
      <c r="P388" s="33"/>
      <c r="Q388" s="33"/>
      <c r="R388" s="33"/>
      <c r="S388" s="23"/>
      <c r="T388" s="23"/>
      <c r="U388" s="23"/>
      <c r="V388" s="78"/>
      <c r="W388" s="30"/>
      <c r="X388" s="30"/>
      <c r="Y388" s="494"/>
      <c r="Z388" s="30"/>
      <c r="AA388" s="30"/>
      <c r="AB388" s="30"/>
      <c r="AC388" s="30"/>
      <c r="AD388" s="30"/>
      <c r="AE388" s="30"/>
      <c r="AF388" s="58"/>
      <c r="AG388" s="30"/>
      <c r="AH388" s="30"/>
      <c r="AI388" s="30"/>
      <c r="AJ388" s="504"/>
      <c r="AK388" s="504"/>
      <c r="AL388" s="342"/>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hidden="1" customHeight="1" thickBot="1">
      <c r="A389" s="808"/>
      <c r="B389" s="166"/>
      <c r="C389" s="166"/>
      <c r="D389" s="166"/>
      <c r="E389" s="1550" t="str">
        <f>IF(E386="","",IF(T387=TRUE,HYPERLINK("#JUMP_14",EUconst_MsgGoOnPFC),HYPERLINK("#JUMP_E_8",EUconst_FurtherGuidancePoint1)))</f>
        <v/>
      </c>
      <c r="F389" s="1550"/>
      <c r="G389" s="1550"/>
      <c r="H389" s="1550"/>
      <c r="I389" s="1550"/>
      <c r="J389" s="1550"/>
      <c r="K389" s="1550"/>
      <c r="L389" s="1550"/>
      <c r="M389" s="1550"/>
      <c r="N389" s="143"/>
      <c r="O389" s="733"/>
      <c r="P389" s="33"/>
      <c r="Q389" s="352" t="str">
        <f>EUconst_SumNonSustBioCO2 &amp; "_" &amp; K386</f>
        <v>SUM_bioNonSustCO2_</v>
      </c>
      <c r="R389" s="707"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4"/>
      <c r="AK389" s="504"/>
      <c r="AL389" s="342"/>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hidden="1" customHeight="1">
      <c r="A390" s="808"/>
      <c r="B390" s="166"/>
      <c r="C390" s="166"/>
      <c r="D390" s="166"/>
      <c r="E390" s="166"/>
      <c r="F390" s="166"/>
      <c r="G390" s="166"/>
      <c r="M390" s="143"/>
      <c r="N390" s="143"/>
      <c r="O390" s="733"/>
      <c r="P390" s="23"/>
      <c r="Q390" s="23"/>
      <c r="R390" s="23"/>
      <c r="S390" s="23"/>
      <c r="T390" s="23"/>
      <c r="U390" s="23"/>
      <c r="V390" s="30"/>
      <c r="W390" s="30"/>
      <c r="X390" s="30"/>
      <c r="Y390" s="494"/>
      <c r="Z390" s="30"/>
      <c r="AA390" s="30"/>
      <c r="AB390" s="30"/>
      <c r="AC390" s="30"/>
      <c r="AD390" s="30"/>
      <c r="AE390" s="30"/>
      <c r="AF390" s="58"/>
      <c r="AG390" s="30"/>
      <c r="AH390" s="30"/>
      <c r="AI390" s="30"/>
      <c r="AJ390" s="504"/>
      <c r="AK390" s="504"/>
      <c r="AL390" s="342"/>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hidden="1" customHeight="1" thickBot="1">
      <c r="A391" s="808"/>
      <c r="B391" s="166"/>
      <c r="C391" s="814" t="s">
        <v>4</v>
      </c>
      <c r="D391" s="512" t="str">
        <f>Translations!$B$622</f>
        <v>VD:</v>
      </c>
      <c r="E391" s="1560" t="str">
        <f>Translations!$B$667</f>
        <v>Ar veiklos duomenys gaunami sudedant išmatuotus kiekius (t. y. ne atliekant nuolatinius matavimus)?</v>
      </c>
      <c r="F391" s="1560"/>
      <c r="G391" s="1560"/>
      <c r="H391" s="1560"/>
      <c r="I391" s="1560"/>
      <c r="J391" s="1560"/>
      <c r="K391" s="1560"/>
      <c r="L391" s="1179"/>
      <c r="M391" s="507"/>
      <c r="O391" s="733"/>
      <c r="P391" s="23"/>
      <c r="Q391" s="23"/>
      <c r="R391" s="23"/>
      <c r="S391" s="23"/>
      <c r="T391" s="23"/>
      <c r="U391" s="23"/>
      <c r="V391" s="30"/>
      <c r="W391" s="30"/>
      <c r="X391" s="30"/>
      <c r="Y391" s="494"/>
      <c r="Z391" s="30"/>
      <c r="AA391" s="30"/>
      <c r="AB391" s="30"/>
      <c r="AC391" s="1172" t="b">
        <f>AND(E386&lt;&gt;"",T387&lt;&gt;TRUE)</f>
        <v>0</v>
      </c>
      <c r="AD391" s="30"/>
      <c r="AE391" s="30"/>
      <c r="AF391" s="58"/>
      <c r="AG391" s="30"/>
      <c r="AH391" s="30"/>
      <c r="AI391" s="30"/>
      <c r="AJ391" s="504"/>
      <c r="AK391" s="504"/>
      <c r="AL391" s="342"/>
      <c r="AM391" s="30"/>
      <c r="AN391" s="30"/>
      <c r="AO391" s="30"/>
      <c r="AP391" s="30"/>
      <c r="AQ391" s="30"/>
      <c r="AR391" s="30"/>
      <c r="AS391" s="30"/>
      <c r="AT391" s="1172"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2" t="b">
        <f>OR(CNTR_CalcRelevant=EUconst_NotRelevant,AND(COUNTA(CNTR_ListRelevantSections)&gt;0,OR(T387=TRUE,E386="")))</f>
        <v>1</v>
      </c>
    </row>
    <row r="392" spans="1:78" s="142" customFormat="1" ht="4.5" hidden="1" customHeight="1">
      <c r="A392" s="808"/>
      <c r="B392" s="166"/>
      <c r="C392" s="166"/>
      <c r="D392" s="166"/>
      <c r="E392" s="166"/>
      <c r="F392" s="166"/>
      <c r="G392" s="166"/>
      <c r="H392" s="495"/>
      <c r="I392" s="495"/>
      <c r="J392" s="495"/>
      <c r="K392" s="495"/>
      <c r="L392" s="495"/>
      <c r="M392" s="507"/>
      <c r="O392" s="733"/>
      <c r="P392" s="23"/>
      <c r="Q392" s="23"/>
      <c r="R392" s="23"/>
      <c r="S392" s="23"/>
      <c r="T392" s="23"/>
      <c r="U392" s="23"/>
      <c r="V392" s="30"/>
      <c r="W392" s="30"/>
      <c r="X392" s="30"/>
      <c r="Y392" s="494"/>
      <c r="Z392" s="30"/>
      <c r="AA392" s="30"/>
      <c r="AB392" s="30"/>
      <c r="AC392" s="492"/>
      <c r="AD392" s="30"/>
      <c r="AE392" s="30"/>
      <c r="AF392" s="58"/>
      <c r="AG392" s="30"/>
      <c r="AH392" s="30"/>
      <c r="AI392" s="30"/>
      <c r="AJ392" s="504"/>
      <c r="AK392" s="504"/>
      <c r="AL392" s="342"/>
      <c r="AM392" s="30"/>
      <c r="AN392" s="30"/>
      <c r="AO392" s="30"/>
      <c r="AP392" s="30"/>
      <c r="AQ392" s="30"/>
      <c r="AR392" s="30"/>
      <c r="AS392" s="30"/>
      <c r="AT392" s="492"/>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2"/>
    </row>
    <row r="393" spans="1:78" s="142" customFormat="1" ht="3" hidden="1" customHeight="1" thickBot="1">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3"/>
      <c r="Q393" s="23"/>
      <c r="R393" s="23"/>
      <c r="S393" s="23"/>
      <c r="T393" s="23"/>
      <c r="U393" s="23"/>
      <c r="V393" s="30"/>
      <c r="W393" s="30"/>
      <c r="X393" s="30"/>
      <c r="Y393" s="494"/>
      <c r="Z393" s="30"/>
      <c r="AA393" s="30"/>
      <c r="AB393" s="30"/>
      <c r="AC393" s="1172" t="b">
        <f>AC391</f>
        <v>0</v>
      </c>
      <c r="AD393" s="30"/>
      <c r="AE393" s="30"/>
      <c r="AF393" s="58"/>
      <c r="AG393" s="30"/>
      <c r="AH393" s="30"/>
      <c r="AI393" s="30"/>
      <c r="AJ393" s="504"/>
      <c r="AK393" s="504"/>
      <c r="AL393" s="342"/>
      <c r="AM393" s="30"/>
      <c r="AN393" s="30"/>
      <c r="AO393" s="30"/>
      <c r="AP393" s="30"/>
      <c r="AQ393" s="30"/>
      <c r="AR393" s="30"/>
      <c r="AS393" s="30"/>
      <c r="AT393" s="1172"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2" t="b">
        <f>OR(BZ391,AND(NOT(ISBLANK(L391)),L391=FALSE))</f>
        <v>1</v>
      </c>
    </row>
    <row r="394" spans="1:78" s="142" customFormat="1" ht="4.5" hidden="1" customHeight="1">
      <c r="A394" s="808"/>
      <c r="B394" s="166"/>
      <c r="C394" s="166"/>
      <c r="D394" s="166"/>
      <c r="E394" s="166"/>
      <c r="F394" s="166"/>
      <c r="G394" s="166"/>
      <c r="M394" s="143"/>
      <c r="N394" s="143"/>
      <c r="O394" s="733"/>
      <c r="P394" s="23"/>
      <c r="Q394" s="23"/>
      <c r="R394" s="23"/>
      <c r="S394" s="23"/>
      <c r="T394" s="23"/>
      <c r="U394" s="23"/>
      <c r="V394" s="30"/>
      <c r="W394" s="30"/>
      <c r="X394" s="30"/>
      <c r="Y394" s="494"/>
      <c r="Z394" s="30"/>
      <c r="AA394" s="30"/>
      <c r="AB394" s="30"/>
      <c r="AC394" s="30"/>
      <c r="AD394" s="30"/>
      <c r="AE394" s="30"/>
      <c r="AF394" s="58"/>
      <c r="AG394" s="30"/>
      <c r="AH394" s="30"/>
      <c r="AI394" s="30"/>
      <c r="AJ394" s="504"/>
      <c r="AK394" s="504"/>
      <c r="AL394" s="342"/>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hidden="1" customHeight="1" thickBot="1">
      <c r="A395" s="808"/>
      <c r="B395" s="166"/>
      <c r="C395" s="166"/>
      <c r="D395" s="166"/>
      <c r="E395" s="166"/>
      <c r="F395" s="506" t="str">
        <f>Translations!$B$333</f>
        <v>Pakopa</v>
      </c>
      <c r="G395" s="1557" t="str">
        <f>Translations!$B$672</f>
        <v>pakopos aprašas</v>
      </c>
      <c r="H395" s="1557"/>
      <c r="I395" s="1555" t="str">
        <f>Translations!$B$158</f>
        <v>Vienetas</v>
      </c>
      <c r="J395" s="1555"/>
      <c r="K395" s="1555" t="str">
        <f>Translations!$B$673</f>
        <v>Vertė</v>
      </c>
      <c r="L395" s="1555"/>
      <c r="M395" s="507" t="str">
        <f>Translations!$B$610</f>
        <v>klaida</v>
      </c>
      <c r="O395" s="733"/>
      <c r="P395" s="508"/>
      <c r="Q395" s="352" t="str">
        <f>EUconst_SumEnergyIN &amp; "_" &amp; K386</f>
        <v>SUM_EnergyIN_</v>
      </c>
      <c r="R395" s="399" t="str">
        <f>IF(OR(K386="",T387)=TRUE,"",INDEX(BC401:BE401,MATCH(K386,BC396:BE396,0)))</f>
        <v/>
      </c>
      <c r="S395" s="30"/>
      <c r="T395" s="489"/>
      <c r="U395" s="30"/>
      <c r="V395" s="509" t="s">
        <v>303</v>
      </c>
      <c r="W395" s="30"/>
      <c r="X395" s="30"/>
      <c r="Y395" s="494" t="s">
        <v>566</v>
      </c>
      <c r="Z395" s="494" t="s">
        <v>318</v>
      </c>
      <c r="AA395" s="30"/>
      <c r="AB395" s="30"/>
      <c r="AC395" s="505" t="s">
        <v>309</v>
      </c>
      <c r="AD395" s="30"/>
      <c r="AE395" s="30"/>
      <c r="AF395" s="492" t="s">
        <v>305</v>
      </c>
      <c r="AG395" s="492" t="s">
        <v>306</v>
      </c>
      <c r="AH395" s="494" t="s">
        <v>304</v>
      </c>
      <c r="AI395" s="504" t="s">
        <v>307</v>
      </c>
      <c r="AJ395" s="504" t="s">
        <v>567</v>
      </c>
      <c r="AK395" s="510" t="s">
        <v>311</v>
      </c>
      <c r="AL395" s="342"/>
      <c r="AM395" s="30"/>
      <c r="AN395" s="492" t="s">
        <v>305</v>
      </c>
      <c r="AO395" s="492" t="s">
        <v>306</v>
      </c>
      <c r="AP395" s="511" t="s">
        <v>310</v>
      </c>
      <c r="AQ395" s="504" t="s">
        <v>569</v>
      </c>
      <c r="AR395" s="504" t="s">
        <v>568</v>
      </c>
      <c r="AS395" s="510" t="s">
        <v>311</v>
      </c>
      <c r="AT395" s="510" t="s">
        <v>311</v>
      </c>
      <c r="AU395" s="30"/>
      <c r="AV395" s="492"/>
      <c r="AW395" s="492"/>
      <c r="AX395" s="492" t="s">
        <v>321</v>
      </c>
      <c r="AY395" s="492"/>
      <c r="AZ395" s="492"/>
      <c r="BA395" s="492"/>
      <c r="BB395" s="492"/>
      <c r="BC395" s="492"/>
      <c r="BD395" s="492"/>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3" t="s">
        <v>262</v>
      </c>
    </row>
    <row r="396" spans="1:78" s="142" customFormat="1" ht="12.75" hidden="1" customHeight="1" thickBot="1">
      <c r="A396" s="808"/>
      <c r="B396" s="166"/>
      <c r="C396" s="777" t="s">
        <v>196</v>
      </c>
      <c r="D396" s="512" t="str">
        <f>Translations!$B$622</f>
        <v>VD:</v>
      </c>
      <c r="E396" s="513"/>
      <c r="F396" s="402"/>
      <c r="G396" s="1532" t="str">
        <f>IF(OR(ISBLANK(F396),F396=EUconst_NoTier),"",IF(Z396=0,EUconst_NA,IF(ISERROR(Z396),"",Z396)))</f>
        <v/>
      </c>
      <c r="H396" s="1533"/>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0"/>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0"/>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0"/>
      <c r="AV396" s="492" t="s">
        <v>314</v>
      </c>
      <c r="AW396" s="492" t="s">
        <v>319</v>
      </c>
      <c r="AX396" s="524"/>
      <c r="AY396" s="30" t="s">
        <v>542</v>
      </c>
      <c r="AZ396" s="30"/>
      <c r="BA396" s="30"/>
      <c r="BB396" s="504"/>
      <c r="BC396" s="493" t="str">
        <f>EUconst_Fuel</f>
        <v>Degimas</v>
      </c>
      <c r="BD396" s="493" t="str">
        <f>EUconst_ProcessCarbonate</f>
        <v>Proceso metu išsiskiriančios ŠESD</v>
      </c>
      <c r="BE396" s="493"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4" t="b">
        <f>BZ391</f>
        <v>1</v>
      </c>
    </row>
    <row r="397" spans="1:78" s="142" customFormat="1" ht="4.5" hidden="1" customHeight="1">
      <c r="A397" s="808"/>
      <c r="B397" s="166"/>
      <c r="C397" s="814"/>
      <c r="D397" s="306"/>
      <c r="F397" s="143"/>
      <c r="G397" s="143"/>
      <c r="H397" s="143" t="s">
        <v>236</v>
      </c>
      <c r="I397" s="525"/>
      <c r="J397" s="525"/>
      <c r="K397" s="143"/>
      <c r="L397" s="143"/>
      <c r="M397" s="710"/>
      <c r="O397" s="733"/>
      <c r="P397" s="33"/>
      <c r="Q397" s="33"/>
      <c r="R397" s="33"/>
      <c r="S397" s="30"/>
      <c r="T397" s="155"/>
      <c r="U397" s="497"/>
      <c r="V397" s="30"/>
      <c r="W397" s="30"/>
      <c r="X397" s="497"/>
      <c r="Y397" s="526"/>
      <c r="Z397" s="30"/>
      <c r="AA397" s="30"/>
      <c r="AB397" s="30"/>
      <c r="AC397" s="30"/>
      <c r="AD397" s="30"/>
      <c r="AE397" s="30"/>
      <c r="AF397" s="30"/>
      <c r="AG397" s="30"/>
      <c r="AH397" s="30"/>
      <c r="AI397" s="30"/>
      <c r="AJ397" s="30"/>
      <c r="AK397" s="30"/>
      <c r="AL397" s="342"/>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3"/>
    </row>
    <row r="398" spans="1:78" s="142" customFormat="1" ht="12.75" hidden="1" customHeight="1" thickBot="1">
      <c r="A398" s="808"/>
      <c r="B398" s="166"/>
      <c r="C398" s="814" t="s">
        <v>197</v>
      </c>
      <c r="D398" s="512" t="str">
        <f>Translations!$B$634</f>
        <v>(prelim.) ITF:</v>
      </c>
      <c r="E398" s="513"/>
      <c r="F398" s="527"/>
      <c r="G398" s="1532" t="str">
        <f t="shared" ref="G398:G404" si="84">IF(OR(ISBLANK(F398),F398=EUconst_NoTier),"",IF(Z398=0,EUconst_NotApplicable,IF(ISERROR(Z398),"",Z398)))</f>
        <v/>
      </c>
      <c r="H398" s="1556"/>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3"/>
      <c r="Q398" s="33"/>
      <c r="R398" s="33"/>
      <c r="S398" s="30"/>
      <c r="T398" s="530" t="str">
        <f>EUconst_CNTR_EF&amp;E387</f>
        <v>EF_</v>
      </c>
      <c r="U398" s="497"/>
      <c r="V398" s="531" t="str">
        <f>V396</f>
        <v/>
      </c>
      <c r="W398" s="30"/>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0"/>
      <c r="AC398" s="535" t="b">
        <f>AND(AC396,Y398&lt;&gt;EUconst_NA)</f>
        <v>0</v>
      </c>
      <c r="AD398" s="30"/>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0"/>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0"/>
      <c r="BA398" s="30"/>
      <c r="BB398" s="547" t="s">
        <v>594</v>
      </c>
      <c r="BC398" s="546" t="str">
        <f>IF(K386=BC396,AR396*IF(AJ398=EUconst_tCO2pTJ,(AR399/1000),1)*AR398*AR400*AR404,"")</f>
        <v/>
      </c>
      <c r="BD398" s="524" t="str">
        <f>IF(K386=BD396,AR396*AR398*AR401*AR404,"")</f>
        <v/>
      </c>
      <c r="BE398" s="523"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1" t="b">
        <f>OR(BZ396,Y398=EUconst_NA)</f>
        <v>1</v>
      </c>
    </row>
    <row r="399" spans="1:78" s="142" customFormat="1" ht="12.75" hidden="1" customHeight="1" thickBot="1">
      <c r="A399" s="808"/>
      <c r="B399" s="166"/>
      <c r="C399" s="814" t="s">
        <v>198</v>
      </c>
      <c r="D399" s="512" t="str">
        <f>Translations!$B$636</f>
        <v>GŠV:</v>
      </c>
      <c r="E399" s="513"/>
      <c r="F399" s="548"/>
      <c r="G399" s="1532" t="str">
        <f t="shared" si="84"/>
        <v/>
      </c>
      <c r="H399" s="1533"/>
      <c r="I399" s="1169" t="str">
        <f>AJ399</f>
        <v/>
      </c>
      <c r="J399" s="549"/>
      <c r="K399" s="550" t="str">
        <f t="shared" si="85"/>
        <v/>
      </c>
      <c r="L399" s="551"/>
      <c r="M399" s="709" t="str">
        <f>IF(AND(E387&lt;&gt;"",OR(F399="",COUNT(K399:L399)=0),Y399&lt;&gt;EUconst_NA,T387&lt;&gt;TRUE),EUconst_ERR_Incomplete,IF(COUNTIF(AX399:AZ399,TRUE)&gt;0,EUconst_ERR_Inconsistent,""))</f>
        <v/>
      </c>
      <c r="O399" s="733"/>
      <c r="P399" s="33"/>
      <c r="Q399" s="33"/>
      <c r="R399" s="33"/>
      <c r="S399" s="30"/>
      <c r="T399" s="552" t="str">
        <f>EUconst_CNTR_NCV&amp;E387</f>
        <v>NCV_</v>
      </c>
      <c r="U399" s="497"/>
      <c r="V399" s="553" t="str">
        <f t="shared" ref="V399:V404" si="90">V398</f>
        <v/>
      </c>
      <c r="W399" s="30"/>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0"/>
      <c r="AC399" s="557" t="b">
        <f>AND(AC396,Y399&lt;&gt;EUconst_NA)</f>
        <v>0</v>
      </c>
      <c r="AD399" s="30"/>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0"/>
      <c r="AV399" s="567" t="b">
        <f t="shared" si="87"/>
        <v>0</v>
      </c>
      <c r="AW399" s="568" t="b">
        <f t="shared" si="88"/>
        <v>0</v>
      </c>
      <c r="AX399" s="30"/>
      <c r="AY399" s="553" t="b">
        <f t="shared" si="89"/>
        <v>0</v>
      </c>
      <c r="AZ399" s="30"/>
      <c r="BA399" s="30"/>
      <c r="BB399" s="547" t="s">
        <v>595</v>
      </c>
      <c r="BC399" s="546" t="str">
        <f>IF(K386=BC396,AR396*IF(AJ398=EUconst_tCO2pTJ,(AR399/1000),1)*AR398*AR400*AR403,"")</f>
        <v/>
      </c>
      <c r="BD399" s="524" t="str">
        <f>IF(K386=BD396,AR396*AR398*AR401*AR403,"")</f>
        <v/>
      </c>
      <c r="BE399" s="523"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3" t="b">
        <f>OR(BZ396,Y399=EUconst_NA)</f>
        <v>1</v>
      </c>
    </row>
    <row r="400" spans="1:78" s="142" customFormat="1" ht="12.75" hidden="1" customHeight="1" thickBot="1">
      <c r="A400" s="808"/>
      <c r="B400" s="166"/>
      <c r="C400" s="814" t="s">
        <v>199</v>
      </c>
      <c r="D400" s="512" t="str">
        <f>Translations!$B$638</f>
        <v>OksK:</v>
      </c>
      <c r="E400" s="513"/>
      <c r="F400" s="548"/>
      <c r="G400" s="1532" t="str">
        <f t="shared" si="84"/>
        <v/>
      </c>
      <c r="H400" s="1533"/>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3"/>
      <c r="Q400" s="33"/>
      <c r="R400" s="33"/>
      <c r="S400" s="30"/>
      <c r="T400" s="552" t="str">
        <f>EUconst_CNTR_OxidationFactor&amp;E387</f>
        <v>OxF_</v>
      </c>
      <c r="U400" s="497"/>
      <c r="V400" s="553" t="str">
        <f t="shared" si="90"/>
        <v/>
      </c>
      <c r="W400" s="30"/>
      <c r="X400" s="497"/>
      <c r="Y400" s="554" t="str">
        <f>IF(OR(T387=TRUE,E387=""),"",INDEX(EUwideConstants!$N:$N,MATCH(T400,EUwideConstants!$Q:$Q,0)))</f>
        <v/>
      </c>
      <c r="Z400" s="555" t="str">
        <f>IF(ISBLANK(F400),"",IF(F400=EUconst_NA,"",INDEX(EUwideConstants!$H:$M,MATCH(T400,EUwideConstants!$Q:$Q,0),MATCH(F400,CNTR_TierList,0))))</f>
        <v/>
      </c>
      <c r="AA400" s="534" t="str">
        <f>IF(F400=1,1,"")</f>
        <v/>
      </c>
      <c r="AB400" s="30"/>
      <c r="AC400" s="557" t="b">
        <f>AND(AC396,Y400&lt;&gt;EUconst_NA)</f>
        <v>0</v>
      </c>
      <c r="AD400" s="30"/>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0"/>
      <c r="AV400" s="567" t="b">
        <f t="shared" si="87"/>
        <v>0</v>
      </c>
      <c r="AW400" s="568" t="b">
        <f t="shared" si="88"/>
        <v>0</v>
      </c>
      <c r="AX400" s="30"/>
      <c r="AY400" s="594" t="b">
        <f t="shared" si="89"/>
        <v>0</v>
      </c>
      <c r="AZ400" s="531" t="b">
        <f>AR400&gt;100%</f>
        <v>0</v>
      </c>
      <c r="BA400" s="30"/>
      <c r="BB400" s="547" t="s">
        <v>290</v>
      </c>
      <c r="BC400" s="546" t="str">
        <f>IF(K386=BC396,AR396*IF(AJ398=EUconst_tCO2pTJ,(AR399/1000),1)*AR398*AR400*(1-AR403),"")</f>
        <v/>
      </c>
      <c r="BD400" s="524" t="str">
        <f>IF(K386=BD396,AR396*AR398*AR401*(1-AR403),"")</f>
        <v/>
      </c>
      <c r="BE400" s="523"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3" t="b">
        <f>OR(BZ396,Y400=EUconst_NA)</f>
        <v>1</v>
      </c>
    </row>
    <row r="401" spans="1:78" s="142" customFormat="1" ht="12.75" hidden="1" customHeight="1" thickBot="1">
      <c r="A401" s="808"/>
      <c r="B401" s="166"/>
      <c r="C401" s="814" t="s">
        <v>200</v>
      </c>
      <c r="D401" s="512" t="str">
        <f>Translations!$B$639</f>
        <v>KonvK:</v>
      </c>
      <c r="E401" s="513"/>
      <c r="F401" s="548"/>
      <c r="G401" s="1532" t="str">
        <f t="shared" si="84"/>
        <v/>
      </c>
      <c r="H401" s="1533"/>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3"/>
      <c r="Q401" s="33"/>
      <c r="R401" s="33"/>
      <c r="S401" s="30"/>
      <c r="T401" s="552" t="str">
        <f>EUconst_CNTR_ConversionFactor&amp;E387</f>
        <v>ConvF_</v>
      </c>
      <c r="U401" s="497"/>
      <c r="V401" s="553" t="str">
        <f t="shared" si="90"/>
        <v/>
      </c>
      <c r="W401" s="30"/>
      <c r="X401" s="497"/>
      <c r="Y401" s="554" t="str">
        <f>IF(OR(T387=TRUE,E387=""),"",INDEX(EUwideConstants!$N:$N,MATCH(T401,EUwideConstants!$Q:$Q,0)))</f>
        <v/>
      </c>
      <c r="Z401" s="555" t="str">
        <f>IF(ISBLANK(F401),"",IF(F401=EUconst_NA,"",INDEX(EUwideConstants!$H:$M,MATCH(T401,EUwideConstants!$Q:$Q,0),MATCH(F401,CNTR_TierList,0))))</f>
        <v/>
      </c>
      <c r="AA401" s="582" t="str">
        <f>IF(F401=1,1,"")</f>
        <v/>
      </c>
      <c r="AB401" s="30"/>
      <c r="AC401" s="557" t="b">
        <f>AND(AC396,Y401&lt;&gt;EUconst_NA)</f>
        <v>0</v>
      </c>
      <c r="AD401" s="30"/>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0"/>
      <c r="AV401" s="567" t="b">
        <f t="shared" si="87"/>
        <v>0</v>
      </c>
      <c r="AW401" s="568" t="b">
        <f t="shared" si="88"/>
        <v>0</v>
      </c>
      <c r="AX401" s="30"/>
      <c r="AY401" s="594" t="b">
        <f t="shared" si="89"/>
        <v>0</v>
      </c>
      <c r="AZ401" s="580" t="b">
        <f>AR401&gt;100%</f>
        <v>0</v>
      </c>
      <c r="BA401" s="30"/>
      <c r="BB401" s="578" t="s">
        <v>487</v>
      </c>
      <c r="BC401" s="579">
        <f>AR396*AR399/1000*(1-AR403)</f>
        <v>0</v>
      </c>
      <c r="BD401" s="580">
        <f>BC401</f>
        <v>0</v>
      </c>
      <c r="BE401" s="581">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3" t="b">
        <f>OR(BZ396,Y401=EUconst_NA)</f>
        <v>1</v>
      </c>
    </row>
    <row r="402" spans="1:78" s="142" customFormat="1" ht="12.75" hidden="1" customHeight="1" thickBot="1">
      <c r="A402" s="808"/>
      <c r="B402" s="166"/>
      <c r="C402" s="814" t="s">
        <v>329</v>
      </c>
      <c r="D402" s="512" t="str">
        <f>Translations!$B$640</f>
        <v>AnglK:</v>
      </c>
      <c r="E402" s="513"/>
      <c r="F402" s="548"/>
      <c r="G402" s="1532" t="str">
        <f t="shared" si="84"/>
        <v/>
      </c>
      <c r="H402" s="1533"/>
      <c r="I402" s="1170" t="str">
        <f>AJ402</f>
        <v/>
      </c>
      <c r="J402" s="586"/>
      <c r="K402" s="587" t="str">
        <f t="shared" si="85"/>
        <v/>
      </c>
      <c r="L402" s="588"/>
      <c r="M402" s="709" t="str">
        <f>IF(AND(E387&lt;&gt;"",OR(F402="",COUNT(K402:L402)=0),Y402&lt;&gt;EUconst_NA,T387&lt;&gt;TRUE),EUconst_ERR_Incomplete,IF(COUNTIF(AX402:AZ402,TRUE)&gt;0,EUconst_ERR_Inconsistent,""))</f>
        <v/>
      </c>
      <c r="O402" s="733"/>
      <c r="P402" s="33"/>
      <c r="Q402" s="33"/>
      <c r="R402" s="33"/>
      <c r="S402" s="30"/>
      <c r="T402" s="552" t="str">
        <f>EUconst_CNTR_CarbonContent&amp;E387</f>
        <v>CarbC_</v>
      </c>
      <c r="U402" s="497"/>
      <c r="V402" s="553" t="str">
        <f t="shared" si="90"/>
        <v/>
      </c>
      <c r="W402" s="30"/>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0"/>
      <c r="AC402" s="557" t="b">
        <f>AND(AC396,Y402&lt;&gt;EUconst_NA)</f>
        <v>0</v>
      </c>
      <c r="AD402" s="30"/>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0"/>
      <c r="AV402" s="567" t="b">
        <f t="shared" si="87"/>
        <v>0</v>
      </c>
      <c r="AW402" s="568" t="b">
        <f t="shared" si="88"/>
        <v>0</v>
      </c>
      <c r="AX402" s="546" t="b">
        <f>OR(AND(AJ396=EUconst_kNm3,AJ402=EUconst_tCpt),AND(AJ396=EUconst_t,AJ402=EUconst_tCpkNm3))</f>
        <v>0</v>
      </c>
      <c r="AY402" s="553" t="b">
        <f t="shared" si="89"/>
        <v>0</v>
      </c>
      <c r="AZ402" s="30"/>
      <c r="BA402" s="30"/>
      <c r="BB402" s="578" t="s">
        <v>488</v>
      </c>
      <c r="BC402" s="579">
        <f>AR396*AR399/1000*AR403</f>
        <v>0</v>
      </c>
      <c r="BD402" s="580">
        <f>BC402</f>
        <v>0</v>
      </c>
      <c r="BE402" s="581">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3" t="b">
        <f>OR(BZ396,Y402=EUconst_NA)</f>
        <v>1</v>
      </c>
    </row>
    <row r="403" spans="1:78" s="142" customFormat="1" ht="12.75" hidden="1" customHeight="1">
      <c r="A403" s="808"/>
      <c r="B403" s="166"/>
      <c r="C403" s="777" t="s">
        <v>330</v>
      </c>
      <c r="D403" s="512" t="str">
        <f>Translations!$B$641</f>
        <v>BioC:</v>
      </c>
      <c r="E403" s="513"/>
      <c r="F403" s="548"/>
      <c r="G403" s="1532" t="str">
        <f t="shared" si="84"/>
        <v/>
      </c>
      <c r="H403" s="1533"/>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0"/>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0"/>
      <c r="AC403" s="557" t="b">
        <f>AND(AC396,Y403&lt;&gt;EUconst_NA)</f>
        <v>0</v>
      </c>
      <c r="AD403" s="30"/>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0"/>
      <c r="AV403" s="567" t="b">
        <f t="shared" si="87"/>
        <v>0</v>
      </c>
      <c r="AW403" s="568" t="b">
        <f t="shared" si="88"/>
        <v>0</v>
      </c>
      <c r="AX403" s="30"/>
      <c r="AY403" s="594" t="b">
        <f t="shared" si="89"/>
        <v>0</v>
      </c>
      <c r="AZ403" s="531"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3" t="b">
        <f>OR(BZ396,Y403=EUconst_NA)</f>
        <v>1</v>
      </c>
    </row>
    <row r="404" spans="1:78" s="142" customFormat="1" ht="12.75" hidden="1" customHeight="1" thickBot="1">
      <c r="A404" s="808"/>
      <c r="B404" s="166"/>
      <c r="C404" s="777" t="s">
        <v>454</v>
      </c>
      <c r="D404" s="512" t="str">
        <f>Translations!$B$647</f>
        <v>Netvar. BioC:</v>
      </c>
      <c r="E404" s="513"/>
      <c r="F404" s="597"/>
      <c r="G404" s="1532" t="str">
        <f t="shared" si="84"/>
        <v/>
      </c>
      <c r="H404" s="1533"/>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0"/>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0"/>
      <c r="AC404" s="603" t="b">
        <f>AND(AC396,Y404&lt;&gt;EUconst_NA)</f>
        <v>0</v>
      </c>
      <c r="AD404" s="30"/>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0"/>
      <c r="AV404" s="613" t="b">
        <f t="shared" si="87"/>
        <v>0</v>
      </c>
      <c r="AW404" s="614" t="b">
        <f t="shared" si="88"/>
        <v>0</v>
      </c>
      <c r="AX404" s="30"/>
      <c r="AY404" s="579" t="b">
        <f t="shared" si="89"/>
        <v>0</v>
      </c>
      <c r="AZ404" s="580"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80" t="b">
        <f>OR(BZ396,Y404=EUconst_NA)</f>
        <v>1</v>
      </c>
    </row>
    <row r="405" spans="1:78" s="142" customFormat="1" ht="4.5" hidden="1" customHeight="1">
      <c r="A405" s="808"/>
      <c r="B405" s="166"/>
      <c r="C405" s="166"/>
      <c r="D405" s="180"/>
      <c r="O405" s="733"/>
      <c r="P405" s="33"/>
      <c r="Q405" s="33"/>
      <c r="R405" s="33"/>
      <c r="S405" s="174"/>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hidden="1" customHeight="1">
      <c r="A406" s="808"/>
      <c r="B406" s="166"/>
      <c r="C406" s="166"/>
      <c r="D406" s="1558" t="str">
        <f>Translations!$B$674</f>
        <v>Pakopos galioja nuo:</v>
      </c>
      <c r="E406" s="1558"/>
      <c r="F406" s="1559"/>
      <c r="G406" s="1052"/>
      <c r="H406" s="615" t="str">
        <f>Translations!$B$675</f>
        <v>iki:</v>
      </c>
      <c r="I406" s="1052"/>
      <c r="J406" s="1536" t="str">
        <f>Translations!$B$676</f>
        <v>Atliekų katalogo numeris (jeigu taikytina):</v>
      </c>
      <c r="K406" s="1537"/>
      <c r="L406" s="1537"/>
      <c r="M406" s="1538"/>
      <c r="N406" s="1289"/>
      <c r="O406" s="733"/>
      <c r="P406" s="33"/>
      <c r="Q406" s="33"/>
      <c r="R406" s="33"/>
      <c r="S406" s="1290"/>
      <c r="T406" s="492"/>
      <c r="U406" s="492"/>
      <c r="V406" s="48" t="b">
        <f>IF(V396="",FALSE,INDEX(CNTR_IsWaste,MATCH(V396,MSParameters!$A$218:$A$376,0)))</f>
        <v>0</v>
      </c>
      <c r="W406" s="1290"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hidden="1" customHeight="1">
      <c r="A407" s="808"/>
      <c r="B407" s="166"/>
      <c r="C407" s="166"/>
      <c r="D407" s="615"/>
      <c r="E407" s="495"/>
      <c r="F407" s="495"/>
      <c r="G407" s="495"/>
      <c r="H407" s="495"/>
      <c r="I407" s="495"/>
      <c r="J407" s="495"/>
      <c r="K407" s="495"/>
      <c r="L407" s="495"/>
      <c r="M407" s="495"/>
      <c r="N407" s="495"/>
      <c r="O407" s="733"/>
      <c r="P407" s="33"/>
      <c r="Q407" s="33"/>
      <c r="R407" s="33"/>
      <c r="S407" s="174"/>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hidden="1" customHeight="1">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3"/>
      <c r="Q408" s="33"/>
      <c r="R408" s="33"/>
      <c r="S408" s="174"/>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hidden="1" customHeight="1">
      <c r="A409" s="815"/>
      <c r="D409" s="180"/>
      <c r="O409" s="573"/>
      <c r="P409" s="497"/>
      <c r="Q409" s="497"/>
      <c r="R409" s="497"/>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hidden="1">
      <c r="A410" s="815"/>
      <c r="D410" s="1534" t="str">
        <f>Translations!$B$160</f>
        <v>Pastabos:</v>
      </c>
      <c r="E410" s="1535"/>
      <c r="F410" s="1539"/>
      <c r="G410" s="1540"/>
      <c r="H410" s="1540"/>
      <c r="I410" s="1540"/>
      <c r="J410" s="1540"/>
      <c r="K410" s="1540"/>
      <c r="L410" s="1540"/>
      <c r="M410" s="1540"/>
      <c r="N410" s="1541"/>
      <c r="O410" s="573"/>
      <c r="P410" s="497"/>
      <c r="Q410" s="497"/>
      <c r="R410" s="497"/>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c r="A411" s="808"/>
      <c r="B411" s="495"/>
      <c r="C411" s="499"/>
      <c r="D411" s="500"/>
      <c r="E411" s="501"/>
      <c r="F411" s="499"/>
      <c r="G411" s="502"/>
      <c r="H411" s="502"/>
      <c r="I411" s="502"/>
      <c r="J411" s="502"/>
      <c r="K411" s="502"/>
      <c r="L411" s="502"/>
      <c r="M411" s="502"/>
      <c r="N411" s="502"/>
      <c r="O411" s="740"/>
      <c r="P411" s="494"/>
      <c r="Q411" s="494"/>
      <c r="R411" s="494"/>
      <c r="S411" s="58"/>
      <c r="T411" s="58"/>
      <c r="U411" s="498"/>
      <c r="V411" s="58"/>
      <c r="W411" s="58"/>
      <c r="X411" s="49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c r="A412" s="813"/>
      <c r="B412" s="495"/>
      <c r="C412" s="495"/>
      <c r="D412" s="180"/>
      <c r="E412" s="496"/>
      <c r="F412" s="495"/>
      <c r="G412" s="487"/>
      <c r="H412" s="487"/>
      <c r="I412" s="487"/>
      <c r="J412" s="487"/>
      <c r="K412" s="495"/>
      <c r="L412" s="487"/>
      <c r="M412" s="487"/>
      <c r="N412" s="487"/>
      <c r="O412" s="740"/>
      <c r="P412" s="494"/>
      <c r="Q412" s="494"/>
      <c r="R412" s="494"/>
      <c r="S412" s="23"/>
      <c r="T412" s="27" t="str">
        <f>IF(ISBLANK(E413),"",MATCH(E413,CNTR_SourceStreamNames,0))</f>
        <v/>
      </c>
      <c r="U412" s="618"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1"/>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3" t="s">
        <v>262</v>
      </c>
    </row>
    <row r="413" spans="1:78" s="142" customFormat="1" ht="15" hidden="1" customHeight="1" thickBot="1">
      <c r="A413" s="869" t="str">
        <f>IF(E413="","","PRINT")</f>
        <v/>
      </c>
      <c r="B413" s="166"/>
      <c r="C413" s="617">
        <f>C386+1</f>
        <v>14</v>
      </c>
      <c r="D413" s="166"/>
      <c r="E413" s="1542"/>
      <c r="F413" s="1543"/>
      <c r="G413" s="1543"/>
      <c r="H413" s="1543"/>
      <c r="I413" s="1543"/>
      <c r="J413" s="1544"/>
      <c r="K413" s="1545" t="str">
        <f>IF(E414="","",INDEX(EUwideConstants!$F$353:$F$394,MATCH(E414,EUConst_TierActivityListNames,0)))</f>
        <v/>
      </c>
      <c r="L413" s="1546"/>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3"/>
      <c r="T413" s="509" t="s">
        <v>393</v>
      </c>
      <c r="U413" s="23"/>
      <c r="V413" s="78"/>
      <c r="W413" s="56"/>
      <c r="X413" s="58"/>
      <c r="Y413" s="58"/>
      <c r="Z413" s="58"/>
      <c r="AA413" s="58"/>
      <c r="AB413" s="58"/>
      <c r="AC413" s="58"/>
      <c r="AD413" s="58"/>
      <c r="AE413" s="58"/>
      <c r="AF413" s="58"/>
      <c r="AG413" s="58"/>
      <c r="AH413" s="58"/>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6"/>
      <c r="BZ413" s="619" t="b">
        <f>CNTR_CalcRelevant=EUconst_NotRelevant</f>
        <v>0</v>
      </c>
    </row>
    <row r="414" spans="1:78" s="142" customFormat="1" ht="15" hidden="1" customHeight="1" thickBot="1">
      <c r="A414" s="808"/>
      <c r="B414" s="166"/>
      <c r="C414" s="166"/>
      <c r="D414" s="166"/>
      <c r="E414" s="1547" t="str">
        <f>IF(ISBLANK(E413),"",IF(INDEX(B_InstallationDescription!$E$71:$E$145,MATCH(U412,B_InstallationDescription!$D$71:$D$145,0))&gt;0,INDEX(B_InstallationDescription!$E$71:$E$145,MATCH(U412,B_InstallationDescription!$D$71:$D$145,0)),""))</f>
        <v/>
      </c>
      <c r="F414" s="1548"/>
      <c r="G414" s="1548"/>
      <c r="H414" s="1548"/>
      <c r="I414" s="1548"/>
      <c r="J414" s="1549"/>
      <c r="M414" s="346" t="str">
        <f>Translations!$B$666</f>
        <v>CO2, biomasės kilmės.:</v>
      </c>
      <c r="N414" s="1051" t="str">
        <f>IF(OR(K413="",T414=TRUE),"",INDEX(BC426:BE426,MATCH(K413,BC423:BE423,0)))</f>
        <v/>
      </c>
      <c r="O414" s="742" t="s">
        <v>260</v>
      </c>
      <c r="P414" s="494"/>
      <c r="Q414" s="352" t="str">
        <f>EUconst_SumBioCO2 &amp; "_" &amp; K413</f>
        <v>SUM_bioCO2_</v>
      </c>
      <c r="R414" s="494"/>
      <c r="S414" s="23"/>
      <c r="T414" s="48" t="str">
        <f>IF(E414="","",MATCH(E414,EUConst_TierActivityListNames,0)&gt;40)</f>
        <v/>
      </c>
      <c r="U414" s="23"/>
      <c r="V414" s="78"/>
      <c r="W414" s="56"/>
      <c r="X414" s="58"/>
      <c r="Y414" s="27" t="s">
        <v>93</v>
      </c>
      <c r="Z414" s="30"/>
      <c r="AA414" s="30"/>
      <c r="AB414" s="30"/>
      <c r="AC414" s="30"/>
      <c r="AD414" s="30"/>
      <c r="AE414" s="27" t="s">
        <v>302</v>
      </c>
      <c r="AF414" s="58"/>
      <c r="AG414" s="504"/>
      <c r="AH414" s="30"/>
      <c r="AI414" s="30"/>
      <c r="AJ414" s="504"/>
      <c r="AK414" s="504"/>
      <c r="AL414" s="342"/>
      <c r="AM414" s="27" t="s">
        <v>308</v>
      </c>
      <c r="AN414" s="505"/>
      <c r="AO414" s="505"/>
      <c r="AP414" s="30"/>
      <c r="AQ414" s="30"/>
      <c r="AR414" s="30"/>
      <c r="AS414" s="30"/>
      <c r="AT414" s="30"/>
      <c r="AU414" s="30"/>
      <c r="AV414" s="27" t="s">
        <v>315</v>
      </c>
      <c r="AW414" s="30"/>
      <c r="AX414" s="492"/>
      <c r="AY414" s="30"/>
      <c r="AZ414" s="30"/>
      <c r="BA414" s="30"/>
      <c r="BB414" s="27" t="s">
        <v>219</v>
      </c>
      <c r="BC414" s="30"/>
      <c r="BD414" s="30"/>
      <c r="BE414" s="30"/>
      <c r="BF414" s="30"/>
      <c r="BG414" s="27"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0"/>
      <c r="BZ414" s="30"/>
    </row>
    <row r="415" spans="1:78" s="142" customFormat="1" ht="5.0999999999999996" hidden="1" customHeight="1">
      <c r="A415" s="808"/>
      <c r="B415" s="166"/>
      <c r="C415" s="166"/>
      <c r="D415" s="166"/>
      <c r="E415" s="166"/>
      <c r="F415" s="166"/>
      <c r="G415" s="166"/>
      <c r="M415" s="143"/>
      <c r="N415" s="143"/>
      <c r="O415" s="733"/>
      <c r="P415" s="33"/>
      <c r="Q415" s="33"/>
      <c r="R415" s="33"/>
      <c r="S415" s="23"/>
      <c r="T415" s="23"/>
      <c r="U415" s="23"/>
      <c r="V415" s="78"/>
      <c r="W415" s="30"/>
      <c r="X415" s="30"/>
      <c r="Y415" s="494"/>
      <c r="Z415" s="30"/>
      <c r="AA415" s="30"/>
      <c r="AB415" s="30"/>
      <c r="AC415" s="30"/>
      <c r="AD415" s="30"/>
      <c r="AE415" s="30"/>
      <c r="AF415" s="58"/>
      <c r="AG415" s="30"/>
      <c r="AH415" s="30"/>
      <c r="AI415" s="30"/>
      <c r="AJ415" s="504"/>
      <c r="AK415" s="504"/>
      <c r="AL415" s="342"/>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hidden="1" customHeight="1" thickBot="1">
      <c r="A416" s="808"/>
      <c r="B416" s="166"/>
      <c r="C416" s="166"/>
      <c r="D416" s="166"/>
      <c r="E416" s="1550" t="str">
        <f>IF(E413="","",IF(T414=TRUE,HYPERLINK("#JUMP_14",EUconst_MsgGoOnPFC),HYPERLINK("#JUMP_E_8",EUconst_FurtherGuidancePoint1)))</f>
        <v/>
      </c>
      <c r="F416" s="1550"/>
      <c r="G416" s="1550"/>
      <c r="H416" s="1550"/>
      <c r="I416" s="1550"/>
      <c r="J416" s="1550"/>
      <c r="K416" s="1550"/>
      <c r="L416" s="1550"/>
      <c r="M416" s="1550"/>
      <c r="N416" s="143"/>
      <c r="O416" s="733"/>
      <c r="P416" s="33"/>
      <c r="Q416" s="352" t="str">
        <f>EUconst_SumNonSustBioCO2 &amp; "_" &amp; K413</f>
        <v>SUM_bioNonSustCO2_</v>
      </c>
      <c r="R416" s="707"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4"/>
      <c r="AK416" s="504"/>
      <c r="AL416" s="342"/>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hidden="1" customHeight="1">
      <c r="A417" s="808"/>
      <c r="B417" s="166"/>
      <c r="C417" s="166"/>
      <c r="D417" s="166"/>
      <c r="E417" s="166"/>
      <c r="F417" s="166"/>
      <c r="G417" s="166"/>
      <c r="M417" s="143"/>
      <c r="N417" s="143"/>
      <c r="O417" s="733"/>
      <c r="P417" s="23"/>
      <c r="Q417" s="23"/>
      <c r="R417" s="23"/>
      <c r="S417" s="23"/>
      <c r="T417" s="23"/>
      <c r="U417" s="23"/>
      <c r="V417" s="30"/>
      <c r="W417" s="30"/>
      <c r="X417" s="30"/>
      <c r="Y417" s="494"/>
      <c r="Z417" s="30"/>
      <c r="AA417" s="30"/>
      <c r="AB417" s="30"/>
      <c r="AC417" s="30"/>
      <c r="AD417" s="30"/>
      <c r="AE417" s="30"/>
      <c r="AF417" s="58"/>
      <c r="AG417" s="30"/>
      <c r="AH417" s="30"/>
      <c r="AI417" s="30"/>
      <c r="AJ417" s="504"/>
      <c r="AK417" s="504"/>
      <c r="AL417" s="342"/>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hidden="1" customHeight="1" thickBot="1">
      <c r="A418" s="808"/>
      <c r="B418" s="166"/>
      <c r="C418" s="814" t="s">
        <v>4</v>
      </c>
      <c r="D418" s="512" t="str">
        <f>Translations!$B$622</f>
        <v>VD:</v>
      </c>
      <c r="E418" s="1560" t="str">
        <f>Translations!$B$667</f>
        <v>Ar veiklos duomenys gaunami sudedant išmatuotus kiekius (t. y. ne atliekant nuolatinius matavimus)?</v>
      </c>
      <c r="F418" s="1560"/>
      <c r="G418" s="1560"/>
      <c r="H418" s="1560"/>
      <c r="I418" s="1560"/>
      <c r="J418" s="1560"/>
      <c r="K418" s="1560"/>
      <c r="L418" s="1179"/>
      <c r="M418" s="507"/>
      <c r="O418" s="733"/>
      <c r="P418" s="23"/>
      <c r="Q418" s="23"/>
      <c r="R418" s="23"/>
      <c r="S418" s="23"/>
      <c r="T418" s="23"/>
      <c r="U418" s="23"/>
      <c r="V418" s="30"/>
      <c r="W418" s="30"/>
      <c r="X418" s="30"/>
      <c r="Y418" s="494"/>
      <c r="Z418" s="30"/>
      <c r="AA418" s="30"/>
      <c r="AB418" s="30"/>
      <c r="AC418" s="1172" t="b">
        <f>AND(E413&lt;&gt;"",T414&lt;&gt;TRUE)</f>
        <v>0</v>
      </c>
      <c r="AD418" s="30"/>
      <c r="AE418" s="30"/>
      <c r="AF418" s="58"/>
      <c r="AG418" s="30"/>
      <c r="AH418" s="30"/>
      <c r="AI418" s="30"/>
      <c r="AJ418" s="504"/>
      <c r="AK418" s="504"/>
      <c r="AL418" s="342"/>
      <c r="AM418" s="30"/>
      <c r="AN418" s="30"/>
      <c r="AO418" s="30"/>
      <c r="AP418" s="30"/>
      <c r="AQ418" s="30"/>
      <c r="AR418" s="30"/>
      <c r="AS418" s="30"/>
      <c r="AT418" s="1172"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2" t="b">
        <f>OR(CNTR_CalcRelevant=EUconst_NotRelevant,AND(COUNTA(CNTR_ListRelevantSections)&gt;0,OR(T414=TRUE,E413="")))</f>
        <v>1</v>
      </c>
    </row>
    <row r="419" spans="1:78" s="142" customFormat="1" ht="5.0999999999999996" hidden="1" customHeight="1">
      <c r="A419" s="808"/>
      <c r="B419" s="166"/>
      <c r="C419" s="166"/>
      <c r="D419" s="166"/>
      <c r="E419" s="166"/>
      <c r="F419" s="166"/>
      <c r="G419" s="166"/>
      <c r="H419" s="495"/>
      <c r="I419" s="495"/>
      <c r="J419" s="495"/>
      <c r="K419" s="495"/>
      <c r="L419" s="495"/>
      <c r="M419" s="507"/>
      <c r="O419" s="733"/>
      <c r="P419" s="23"/>
      <c r="Q419" s="23"/>
      <c r="R419" s="23"/>
      <c r="S419" s="23"/>
      <c r="T419" s="23"/>
      <c r="U419" s="23"/>
      <c r="V419" s="30"/>
      <c r="W419" s="30"/>
      <c r="X419" s="30"/>
      <c r="Y419" s="494"/>
      <c r="Z419" s="30"/>
      <c r="AA419" s="30"/>
      <c r="AB419" s="30"/>
      <c r="AC419" s="492"/>
      <c r="AD419" s="30"/>
      <c r="AE419" s="30"/>
      <c r="AF419" s="58"/>
      <c r="AG419" s="30"/>
      <c r="AH419" s="30"/>
      <c r="AI419" s="30"/>
      <c r="AJ419" s="504"/>
      <c r="AK419" s="504"/>
      <c r="AL419" s="342"/>
      <c r="AM419" s="30"/>
      <c r="AN419" s="30"/>
      <c r="AO419" s="30"/>
      <c r="AP419" s="30"/>
      <c r="AQ419" s="30"/>
      <c r="AR419" s="30"/>
      <c r="AS419" s="30"/>
      <c r="AT419" s="492"/>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2"/>
    </row>
    <row r="420" spans="1:78" s="142" customFormat="1" ht="12.75" hidden="1" customHeight="1" thickBot="1">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3"/>
      <c r="Q420" s="23"/>
      <c r="R420" s="23"/>
      <c r="S420" s="23"/>
      <c r="T420" s="23"/>
      <c r="U420" s="23"/>
      <c r="V420" s="30"/>
      <c r="W420" s="30"/>
      <c r="X420" s="30"/>
      <c r="Y420" s="494"/>
      <c r="Z420" s="30"/>
      <c r="AA420" s="30"/>
      <c r="AB420" s="30"/>
      <c r="AC420" s="1172" t="b">
        <f>AC418</f>
        <v>0</v>
      </c>
      <c r="AD420" s="30"/>
      <c r="AE420" s="30"/>
      <c r="AF420" s="58"/>
      <c r="AG420" s="30"/>
      <c r="AH420" s="30"/>
      <c r="AI420" s="30"/>
      <c r="AJ420" s="504"/>
      <c r="AK420" s="504"/>
      <c r="AL420" s="342"/>
      <c r="AM420" s="30"/>
      <c r="AN420" s="30"/>
      <c r="AO420" s="30"/>
      <c r="AP420" s="30"/>
      <c r="AQ420" s="30"/>
      <c r="AR420" s="30"/>
      <c r="AS420" s="30"/>
      <c r="AT420" s="1172"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2" t="b">
        <f>OR(BZ418,AND(NOT(ISBLANK(L418)),L418=FALSE))</f>
        <v>1</v>
      </c>
    </row>
    <row r="421" spans="1:78" s="142" customFormat="1" ht="5.0999999999999996" hidden="1" customHeight="1">
      <c r="A421" s="808"/>
      <c r="B421" s="166"/>
      <c r="C421" s="166"/>
      <c r="D421" s="166"/>
      <c r="E421" s="166"/>
      <c r="F421" s="166"/>
      <c r="G421" s="166"/>
      <c r="M421" s="143"/>
      <c r="N421" s="143"/>
      <c r="O421" s="733"/>
      <c r="P421" s="23"/>
      <c r="Q421" s="23"/>
      <c r="R421" s="23"/>
      <c r="S421" s="23"/>
      <c r="T421" s="23"/>
      <c r="U421" s="23"/>
      <c r="V421" s="30"/>
      <c r="W421" s="30"/>
      <c r="X421" s="30"/>
      <c r="Y421" s="494"/>
      <c r="Z421" s="30"/>
      <c r="AA421" s="30"/>
      <c r="AB421" s="30"/>
      <c r="AC421" s="30"/>
      <c r="AD421" s="30"/>
      <c r="AE421" s="30"/>
      <c r="AF421" s="58"/>
      <c r="AG421" s="30"/>
      <c r="AH421" s="30"/>
      <c r="AI421" s="30"/>
      <c r="AJ421" s="504"/>
      <c r="AK421" s="504"/>
      <c r="AL421" s="342"/>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hidden="1" customHeight="1" thickBot="1">
      <c r="A422" s="808"/>
      <c r="B422" s="166"/>
      <c r="C422" s="166"/>
      <c r="D422" s="166"/>
      <c r="E422" s="166"/>
      <c r="F422" s="506" t="str">
        <f>Translations!$B$333</f>
        <v>Pakopa</v>
      </c>
      <c r="G422" s="1557" t="str">
        <f>Translations!$B$672</f>
        <v>pakopos aprašas</v>
      </c>
      <c r="H422" s="1557"/>
      <c r="I422" s="1555" t="str">
        <f>Translations!$B$158</f>
        <v>Vienetas</v>
      </c>
      <c r="J422" s="1555"/>
      <c r="K422" s="1555" t="str">
        <f>Translations!$B$673</f>
        <v>Vertė</v>
      </c>
      <c r="L422" s="1555"/>
      <c r="M422" s="507" t="str">
        <f>Translations!$B$610</f>
        <v>klaida</v>
      </c>
      <c r="O422" s="733"/>
      <c r="P422" s="508"/>
      <c r="Q422" s="352" t="str">
        <f>EUconst_SumEnergyIN &amp; "_" &amp; K413</f>
        <v>SUM_EnergyIN_</v>
      </c>
      <c r="R422" s="399" t="str">
        <f>IF(OR(K413="",T414)=TRUE,"",INDEX(BC428:BE428,MATCH(K413,BC423:BE423,0)))</f>
        <v/>
      </c>
      <c r="S422" s="30"/>
      <c r="T422" s="489"/>
      <c r="U422" s="30"/>
      <c r="V422" s="509" t="s">
        <v>303</v>
      </c>
      <c r="W422" s="30"/>
      <c r="X422" s="30"/>
      <c r="Y422" s="494" t="s">
        <v>566</v>
      </c>
      <c r="Z422" s="494" t="s">
        <v>318</v>
      </c>
      <c r="AA422" s="30"/>
      <c r="AB422" s="30"/>
      <c r="AC422" s="505" t="s">
        <v>309</v>
      </c>
      <c r="AD422" s="30"/>
      <c r="AE422" s="30"/>
      <c r="AF422" s="492" t="s">
        <v>305</v>
      </c>
      <c r="AG422" s="492" t="s">
        <v>306</v>
      </c>
      <c r="AH422" s="494" t="s">
        <v>304</v>
      </c>
      <c r="AI422" s="504" t="s">
        <v>307</v>
      </c>
      <c r="AJ422" s="504" t="s">
        <v>567</v>
      </c>
      <c r="AK422" s="510" t="s">
        <v>311</v>
      </c>
      <c r="AL422" s="342"/>
      <c r="AM422" s="30"/>
      <c r="AN422" s="492" t="s">
        <v>305</v>
      </c>
      <c r="AO422" s="492" t="s">
        <v>306</v>
      </c>
      <c r="AP422" s="511" t="s">
        <v>310</v>
      </c>
      <c r="AQ422" s="504" t="s">
        <v>569</v>
      </c>
      <c r="AR422" s="504" t="s">
        <v>568</v>
      </c>
      <c r="AS422" s="510" t="s">
        <v>311</v>
      </c>
      <c r="AT422" s="510" t="s">
        <v>311</v>
      </c>
      <c r="AU422" s="30"/>
      <c r="AV422" s="492"/>
      <c r="AW422" s="492"/>
      <c r="AX422" s="492" t="s">
        <v>321</v>
      </c>
      <c r="AY422" s="492"/>
      <c r="AZ422" s="492"/>
      <c r="BA422" s="492"/>
      <c r="BB422" s="492"/>
      <c r="BC422" s="492"/>
      <c r="BD422" s="492"/>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3" t="s">
        <v>262</v>
      </c>
    </row>
    <row r="423" spans="1:78" s="142" customFormat="1" ht="12.75" hidden="1" customHeight="1" thickBot="1">
      <c r="A423" s="808"/>
      <c r="B423" s="166"/>
      <c r="C423" s="777" t="s">
        <v>196</v>
      </c>
      <c r="D423" s="512" t="str">
        <f>Translations!$B$622</f>
        <v>VD:</v>
      </c>
      <c r="E423" s="513"/>
      <c r="F423" s="402"/>
      <c r="G423" s="1532" t="str">
        <f>IF(OR(ISBLANK(F423),F423=EUconst_NoTier),"",IF(Z423=0,EUconst_NA,IF(ISERROR(Z423),"",Z423)))</f>
        <v/>
      </c>
      <c r="H423" s="1533"/>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0"/>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0"/>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0"/>
      <c r="AV423" s="492" t="s">
        <v>314</v>
      </c>
      <c r="AW423" s="492" t="s">
        <v>319</v>
      </c>
      <c r="AX423" s="524"/>
      <c r="AY423" s="30" t="s">
        <v>542</v>
      </c>
      <c r="AZ423" s="30"/>
      <c r="BA423" s="30"/>
      <c r="BB423" s="504"/>
      <c r="BC423" s="493" t="str">
        <f>EUconst_Fuel</f>
        <v>Degimas</v>
      </c>
      <c r="BD423" s="493" t="str">
        <f>EUconst_ProcessCarbonate</f>
        <v>Proceso metu išsiskiriančios ŠESD</v>
      </c>
      <c r="BE423" s="493"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4" t="b">
        <f>BZ418</f>
        <v>1</v>
      </c>
    </row>
    <row r="424" spans="1:78" s="142" customFormat="1" ht="4.5" hidden="1" customHeight="1">
      <c r="A424" s="808"/>
      <c r="B424" s="166"/>
      <c r="C424" s="814"/>
      <c r="D424" s="306"/>
      <c r="F424" s="143"/>
      <c r="G424" s="143"/>
      <c r="H424" s="143" t="s">
        <v>236</v>
      </c>
      <c r="I424" s="525"/>
      <c r="J424" s="525"/>
      <c r="K424" s="143"/>
      <c r="L424" s="143"/>
      <c r="M424" s="710"/>
      <c r="O424" s="733"/>
      <c r="P424" s="33"/>
      <c r="Q424" s="33"/>
      <c r="R424" s="33"/>
      <c r="S424" s="30"/>
      <c r="T424" s="155"/>
      <c r="U424" s="497"/>
      <c r="V424" s="30"/>
      <c r="W424" s="30"/>
      <c r="X424" s="497"/>
      <c r="Y424" s="526"/>
      <c r="Z424" s="30"/>
      <c r="AA424" s="30"/>
      <c r="AB424" s="30"/>
      <c r="AC424" s="30"/>
      <c r="AD424" s="30"/>
      <c r="AE424" s="30"/>
      <c r="AF424" s="30"/>
      <c r="AG424" s="30"/>
      <c r="AH424" s="30"/>
      <c r="AI424" s="30"/>
      <c r="AJ424" s="30"/>
      <c r="AK424" s="30"/>
      <c r="AL424" s="342"/>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3"/>
    </row>
    <row r="425" spans="1:78" s="142" customFormat="1" ht="12.75" hidden="1" customHeight="1" thickBot="1">
      <c r="A425" s="808"/>
      <c r="B425" s="166"/>
      <c r="C425" s="814" t="s">
        <v>197</v>
      </c>
      <c r="D425" s="512" t="str">
        <f>Translations!$B$634</f>
        <v>(prelim.) ITF:</v>
      </c>
      <c r="E425" s="513"/>
      <c r="F425" s="527"/>
      <c r="G425" s="1532" t="str">
        <f t="shared" ref="G425:G431" si="91">IF(OR(ISBLANK(F425),F425=EUconst_NoTier),"",IF(Z425=0,EUconst_NotApplicable,IF(ISERROR(Z425),"",Z425)))</f>
        <v/>
      </c>
      <c r="H425" s="1556"/>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3"/>
      <c r="Q425" s="33"/>
      <c r="R425" s="33"/>
      <c r="S425" s="30"/>
      <c r="T425" s="530" t="str">
        <f>EUconst_CNTR_EF&amp;E414</f>
        <v>EF_</v>
      </c>
      <c r="U425" s="497"/>
      <c r="V425" s="531" t="str">
        <f>V423</f>
        <v/>
      </c>
      <c r="W425" s="30"/>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0"/>
      <c r="AC425" s="535" t="b">
        <f>AND(AC423,Y425&lt;&gt;EUconst_NA)</f>
        <v>0</v>
      </c>
      <c r="AD425" s="30"/>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0"/>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0"/>
      <c r="BA425" s="30"/>
      <c r="BB425" s="547" t="s">
        <v>594</v>
      </c>
      <c r="BC425" s="546" t="str">
        <f>IF(K413=BC423,AR423*IF(AJ425=EUconst_tCO2pTJ,(AR426/1000),1)*AR425*AR427*AR431,"")</f>
        <v/>
      </c>
      <c r="BD425" s="524" t="str">
        <f>IF(K413=BD423,AR423*AR425*AR428*AR431,"")</f>
        <v/>
      </c>
      <c r="BE425" s="523"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1" t="b">
        <f>OR(BZ423,Y425=EUconst_NA)</f>
        <v>1</v>
      </c>
    </row>
    <row r="426" spans="1:78" s="142" customFormat="1" ht="12.75" hidden="1" customHeight="1" thickBot="1">
      <c r="A426" s="808"/>
      <c r="B426" s="166"/>
      <c r="C426" s="814" t="s">
        <v>198</v>
      </c>
      <c r="D426" s="512" t="str">
        <f>Translations!$B$636</f>
        <v>GŠV:</v>
      </c>
      <c r="E426" s="513"/>
      <c r="F426" s="548"/>
      <c r="G426" s="1532" t="str">
        <f t="shared" si="91"/>
        <v/>
      </c>
      <c r="H426" s="1533"/>
      <c r="I426" s="1169" t="str">
        <f>AJ426</f>
        <v/>
      </c>
      <c r="J426" s="549"/>
      <c r="K426" s="550" t="str">
        <f t="shared" si="92"/>
        <v/>
      </c>
      <c r="L426" s="551"/>
      <c r="M426" s="709" t="str">
        <f>IF(AND(E414&lt;&gt;"",OR(F426="",COUNT(K426:L426)=0),Y426&lt;&gt;EUconst_NA,T414&lt;&gt;TRUE),EUconst_ERR_Incomplete,IF(COUNTIF(AX426:AZ426,TRUE)&gt;0,EUconst_ERR_Inconsistent,""))</f>
        <v/>
      </c>
      <c r="O426" s="733"/>
      <c r="P426" s="33"/>
      <c r="Q426" s="33"/>
      <c r="R426" s="33"/>
      <c r="S426" s="30"/>
      <c r="T426" s="552" t="str">
        <f>EUconst_CNTR_NCV&amp;E414</f>
        <v>NCV_</v>
      </c>
      <c r="U426" s="497"/>
      <c r="V426" s="553" t="str">
        <f t="shared" ref="V426:V431" si="97">V425</f>
        <v/>
      </c>
      <c r="W426" s="30"/>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0"/>
      <c r="AC426" s="557" t="b">
        <f>AND(AC423,Y426&lt;&gt;EUconst_NA)</f>
        <v>0</v>
      </c>
      <c r="AD426" s="30"/>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0"/>
      <c r="AV426" s="567" t="b">
        <f t="shared" si="94"/>
        <v>0</v>
      </c>
      <c r="AW426" s="568" t="b">
        <f t="shared" si="95"/>
        <v>0</v>
      </c>
      <c r="AX426" s="30"/>
      <c r="AY426" s="553" t="b">
        <f t="shared" si="96"/>
        <v>0</v>
      </c>
      <c r="AZ426" s="30"/>
      <c r="BA426" s="30"/>
      <c r="BB426" s="547" t="s">
        <v>595</v>
      </c>
      <c r="BC426" s="546" t="str">
        <f>IF(K413=BC423,AR423*IF(AJ425=EUconst_tCO2pTJ,(AR426/1000),1)*AR425*AR427*AR430,"")</f>
        <v/>
      </c>
      <c r="BD426" s="524" t="str">
        <f>IF(K413=BD423,AR423*AR425*AR428*AR430,"")</f>
        <v/>
      </c>
      <c r="BE426" s="523"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3" t="b">
        <f>OR(BZ423,Y426=EUconst_NA)</f>
        <v>1</v>
      </c>
    </row>
    <row r="427" spans="1:78" s="142" customFormat="1" ht="12.75" hidden="1" customHeight="1" thickBot="1">
      <c r="A427" s="808"/>
      <c r="B427" s="166"/>
      <c r="C427" s="814" t="s">
        <v>199</v>
      </c>
      <c r="D427" s="512" t="str">
        <f>Translations!$B$638</f>
        <v>OksK:</v>
      </c>
      <c r="E427" s="513"/>
      <c r="F427" s="548"/>
      <c r="G427" s="1532" t="str">
        <f t="shared" si="91"/>
        <v/>
      </c>
      <c r="H427" s="1533"/>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3"/>
      <c r="Q427" s="33"/>
      <c r="R427" s="33"/>
      <c r="S427" s="30"/>
      <c r="T427" s="552" t="str">
        <f>EUconst_CNTR_OxidationFactor&amp;E414</f>
        <v>OxF_</v>
      </c>
      <c r="U427" s="497"/>
      <c r="V427" s="553" t="str">
        <f t="shared" si="97"/>
        <v/>
      </c>
      <c r="W427" s="30"/>
      <c r="X427" s="497"/>
      <c r="Y427" s="554" t="str">
        <f>IF(OR(T414=TRUE,E414=""),"",INDEX(EUwideConstants!$N:$N,MATCH(T427,EUwideConstants!$Q:$Q,0)))</f>
        <v/>
      </c>
      <c r="Z427" s="555" t="str">
        <f>IF(ISBLANK(F427),"",IF(F427=EUconst_NA,"",INDEX(EUwideConstants!$H:$M,MATCH(T427,EUwideConstants!$Q:$Q,0),MATCH(F427,CNTR_TierList,0))))</f>
        <v/>
      </c>
      <c r="AA427" s="534" t="str">
        <f>IF(F427=1,1,"")</f>
        <v/>
      </c>
      <c r="AB427" s="30"/>
      <c r="AC427" s="557" t="b">
        <f>AND(AC423,Y427&lt;&gt;EUconst_NA)</f>
        <v>0</v>
      </c>
      <c r="AD427" s="30"/>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0"/>
      <c r="AV427" s="567" t="b">
        <f t="shared" si="94"/>
        <v>0</v>
      </c>
      <c r="AW427" s="568" t="b">
        <f t="shared" si="95"/>
        <v>0</v>
      </c>
      <c r="AX427" s="30"/>
      <c r="AY427" s="594" t="b">
        <f t="shared" si="96"/>
        <v>0</v>
      </c>
      <c r="AZ427" s="531" t="b">
        <f>AR427&gt;100%</f>
        <v>0</v>
      </c>
      <c r="BA427" s="30"/>
      <c r="BB427" s="547" t="s">
        <v>290</v>
      </c>
      <c r="BC427" s="546" t="str">
        <f>IF(K413=BC423,AR423*IF(AJ425=EUconst_tCO2pTJ,(AR426/1000),1)*AR425*AR427*(1-AR430),"")</f>
        <v/>
      </c>
      <c r="BD427" s="524" t="str">
        <f>IF(K413=BD423,AR423*AR425*AR428*(1-AR430),"")</f>
        <v/>
      </c>
      <c r="BE427" s="523"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3" t="b">
        <f>OR(BZ423,Y427=EUconst_NA)</f>
        <v>1</v>
      </c>
    </row>
    <row r="428" spans="1:78" s="142" customFormat="1" ht="12.75" hidden="1" customHeight="1" thickBot="1">
      <c r="A428" s="808"/>
      <c r="B428" s="166"/>
      <c r="C428" s="814" t="s">
        <v>200</v>
      </c>
      <c r="D428" s="512" t="str">
        <f>Translations!$B$639</f>
        <v>KonvK:</v>
      </c>
      <c r="E428" s="513"/>
      <c r="F428" s="548"/>
      <c r="G428" s="1532" t="str">
        <f t="shared" si="91"/>
        <v/>
      </c>
      <c r="H428" s="1533"/>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3"/>
      <c r="Q428" s="33"/>
      <c r="R428" s="33"/>
      <c r="S428" s="30"/>
      <c r="T428" s="552" t="str">
        <f>EUconst_CNTR_ConversionFactor&amp;E414</f>
        <v>ConvF_</v>
      </c>
      <c r="U428" s="497"/>
      <c r="V428" s="553" t="str">
        <f t="shared" si="97"/>
        <v/>
      </c>
      <c r="W428" s="30"/>
      <c r="X428" s="497"/>
      <c r="Y428" s="554" t="str">
        <f>IF(OR(T414=TRUE,E414=""),"",INDEX(EUwideConstants!$N:$N,MATCH(T428,EUwideConstants!$Q:$Q,0)))</f>
        <v/>
      </c>
      <c r="Z428" s="555" t="str">
        <f>IF(ISBLANK(F428),"",IF(F428=EUconst_NA,"",INDEX(EUwideConstants!$H:$M,MATCH(T428,EUwideConstants!$Q:$Q,0),MATCH(F428,CNTR_TierList,0))))</f>
        <v/>
      </c>
      <c r="AA428" s="582" t="str">
        <f>IF(F428=1,1,"")</f>
        <v/>
      </c>
      <c r="AB428" s="30"/>
      <c r="AC428" s="557" t="b">
        <f>AND(AC423,Y428&lt;&gt;EUconst_NA)</f>
        <v>0</v>
      </c>
      <c r="AD428" s="30"/>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0"/>
      <c r="AV428" s="567" t="b">
        <f t="shared" si="94"/>
        <v>0</v>
      </c>
      <c r="AW428" s="568" t="b">
        <f t="shared" si="95"/>
        <v>0</v>
      </c>
      <c r="AX428" s="30"/>
      <c r="AY428" s="594" t="b">
        <f t="shared" si="96"/>
        <v>0</v>
      </c>
      <c r="AZ428" s="580" t="b">
        <f>AR428&gt;100%</f>
        <v>0</v>
      </c>
      <c r="BA428" s="30"/>
      <c r="BB428" s="578" t="s">
        <v>487</v>
      </c>
      <c r="BC428" s="579">
        <f>AR423*AR426/1000*(1-AR430)</f>
        <v>0</v>
      </c>
      <c r="BD428" s="580">
        <f>BC428</f>
        <v>0</v>
      </c>
      <c r="BE428" s="581">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3" t="b">
        <f>OR(BZ423,Y428=EUconst_NA)</f>
        <v>1</v>
      </c>
    </row>
    <row r="429" spans="1:78" s="142" customFormat="1" ht="12.75" hidden="1" customHeight="1" thickBot="1">
      <c r="A429" s="808"/>
      <c r="B429" s="166"/>
      <c r="C429" s="814" t="s">
        <v>329</v>
      </c>
      <c r="D429" s="512" t="str">
        <f>Translations!$B$640</f>
        <v>AnglK:</v>
      </c>
      <c r="E429" s="513"/>
      <c r="F429" s="548"/>
      <c r="G429" s="1532" t="str">
        <f t="shared" si="91"/>
        <v/>
      </c>
      <c r="H429" s="1533"/>
      <c r="I429" s="1170" t="str">
        <f>AJ429</f>
        <v/>
      </c>
      <c r="J429" s="586"/>
      <c r="K429" s="587" t="str">
        <f t="shared" si="92"/>
        <v/>
      </c>
      <c r="L429" s="588"/>
      <c r="M429" s="709" t="str">
        <f>IF(AND(E414&lt;&gt;"",OR(F429="",COUNT(K429:L429)=0),Y429&lt;&gt;EUconst_NA,T414&lt;&gt;TRUE),EUconst_ERR_Incomplete,IF(COUNTIF(AX429:AZ429,TRUE)&gt;0,EUconst_ERR_Inconsistent,""))</f>
        <v/>
      </c>
      <c r="O429" s="733"/>
      <c r="P429" s="33"/>
      <c r="Q429" s="33"/>
      <c r="R429" s="33"/>
      <c r="S429" s="30"/>
      <c r="T429" s="552" t="str">
        <f>EUconst_CNTR_CarbonContent&amp;E414</f>
        <v>CarbC_</v>
      </c>
      <c r="U429" s="497"/>
      <c r="V429" s="553" t="str">
        <f t="shared" si="97"/>
        <v/>
      </c>
      <c r="W429" s="30"/>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0"/>
      <c r="AC429" s="557" t="b">
        <f>AND(AC423,Y429&lt;&gt;EUconst_NA)</f>
        <v>0</v>
      </c>
      <c r="AD429" s="30"/>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0"/>
      <c r="AV429" s="567" t="b">
        <f t="shared" si="94"/>
        <v>0</v>
      </c>
      <c r="AW429" s="568" t="b">
        <f t="shared" si="95"/>
        <v>0</v>
      </c>
      <c r="AX429" s="546" t="b">
        <f>OR(AND(AJ423=EUconst_kNm3,AJ429=EUconst_tCpt),AND(AJ423=EUconst_t,AJ429=EUconst_tCpkNm3))</f>
        <v>0</v>
      </c>
      <c r="AY429" s="553" t="b">
        <f t="shared" si="96"/>
        <v>0</v>
      </c>
      <c r="AZ429" s="30"/>
      <c r="BA429" s="30"/>
      <c r="BB429" s="578" t="s">
        <v>488</v>
      </c>
      <c r="BC429" s="579">
        <f>AR423*AR426/1000*AR430</f>
        <v>0</v>
      </c>
      <c r="BD429" s="580">
        <f>BC429</f>
        <v>0</v>
      </c>
      <c r="BE429" s="581">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3" t="b">
        <f>OR(BZ423,Y429=EUconst_NA)</f>
        <v>1</v>
      </c>
    </row>
    <row r="430" spans="1:78" s="142" customFormat="1" ht="12.75" hidden="1" customHeight="1">
      <c r="A430" s="808"/>
      <c r="B430" s="166"/>
      <c r="C430" s="777" t="s">
        <v>330</v>
      </c>
      <c r="D430" s="512" t="str">
        <f>Translations!$B$641</f>
        <v>BioC:</v>
      </c>
      <c r="E430" s="513"/>
      <c r="F430" s="548"/>
      <c r="G430" s="1532" t="str">
        <f t="shared" si="91"/>
        <v/>
      </c>
      <c r="H430" s="1533"/>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0"/>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0"/>
      <c r="AC430" s="557" t="b">
        <f>AND(AC423,Y430&lt;&gt;EUconst_NA)</f>
        <v>0</v>
      </c>
      <c r="AD430" s="30"/>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0"/>
      <c r="AV430" s="567" t="b">
        <f t="shared" si="94"/>
        <v>0</v>
      </c>
      <c r="AW430" s="568" t="b">
        <f t="shared" si="95"/>
        <v>0</v>
      </c>
      <c r="AX430" s="30"/>
      <c r="AY430" s="594" t="b">
        <f t="shared" si="96"/>
        <v>0</v>
      </c>
      <c r="AZ430" s="531"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3" t="b">
        <f>OR(BZ423,Y430=EUconst_NA)</f>
        <v>1</v>
      </c>
    </row>
    <row r="431" spans="1:78" s="142" customFormat="1" ht="12.75" hidden="1" customHeight="1" thickBot="1">
      <c r="A431" s="808"/>
      <c r="B431" s="166"/>
      <c r="C431" s="777" t="s">
        <v>454</v>
      </c>
      <c r="D431" s="512" t="str">
        <f>Translations!$B$647</f>
        <v>Netvar. BioC:</v>
      </c>
      <c r="E431" s="513"/>
      <c r="F431" s="597"/>
      <c r="G431" s="1532" t="str">
        <f t="shared" si="91"/>
        <v/>
      </c>
      <c r="H431" s="1533"/>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0"/>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0"/>
      <c r="AC431" s="603" t="b">
        <f>AND(AC423,Y431&lt;&gt;EUconst_NA)</f>
        <v>0</v>
      </c>
      <c r="AD431" s="30"/>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0"/>
      <c r="AV431" s="613" t="b">
        <f t="shared" si="94"/>
        <v>0</v>
      </c>
      <c r="AW431" s="614" t="b">
        <f t="shared" si="95"/>
        <v>0</v>
      </c>
      <c r="AX431" s="30"/>
      <c r="AY431" s="579" t="b">
        <f t="shared" si="96"/>
        <v>0</v>
      </c>
      <c r="AZ431" s="580"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80" t="b">
        <f>OR(BZ423,Y431=EUconst_NA)</f>
        <v>1</v>
      </c>
    </row>
    <row r="432" spans="1:78" s="142" customFormat="1" ht="5.0999999999999996" hidden="1" customHeight="1">
      <c r="A432" s="808"/>
      <c r="B432" s="166"/>
      <c r="C432" s="166"/>
      <c r="D432" s="180"/>
      <c r="O432" s="733"/>
      <c r="P432" s="33"/>
      <c r="Q432" s="33"/>
      <c r="R432" s="33"/>
      <c r="S432" s="174"/>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hidden="1" customHeight="1">
      <c r="A433" s="808"/>
      <c r="B433" s="166"/>
      <c r="C433" s="166"/>
      <c r="D433" s="1558" t="str">
        <f>Translations!$B$674</f>
        <v>Pakopos galioja nuo:</v>
      </c>
      <c r="E433" s="1558"/>
      <c r="F433" s="1559"/>
      <c r="G433" s="1052"/>
      <c r="H433" s="615" t="str">
        <f>Translations!$B$675</f>
        <v>iki:</v>
      </c>
      <c r="I433" s="1052"/>
      <c r="J433" s="1536" t="str">
        <f>Translations!$B$676</f>
        <v>Atliekų katalogo numeris (jeigu taikytina):</v>
      </c>
      <c r="K433" s="1537"/>
      <c r="L433" s="1537"/>
      <c r="M433" s="1538"/>
      <c r="N433" s="1289"/>
      <c r="O433" s="733"/>
      <c r="P433" s="33"/>
      <c r="Q433" s="33"/>
      <c r="R433" s="33"/>
      <c r="S433" s="1290"/>
      <c r="T433" s="492"/>
      <c r="U433" s="492"/>
      <c r="V433" s="48" t="b">
        <f>IF(V423="",FALSE,INDEX(CNTR_IsWaste,MATCH(V423,MSParameters!$A$218:$A$376,0)))</f>
        <v>0</v>
      </c>
      <c r="W433" s="1290"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4.5" hidden="1" customHeight="1">
      <c r="A434" s="808"/>
      <c r="B434" s="166"/>
      <c r="C434" s="166"/>
      <c r="D434" s="615"/>
      <c r="E434" s="495"/>
      <c r="F434" s="495"/>
      <c r="G434" s="495"/>
      <c r="H434" s="495"/>
      <c r="I434" s="495"/>
      <c r="J434" s="495"/>
      <c r="K434" s="495"/>
      <c r="L434" s="495"/>
      <c r="M434" s="495"/>
      <c r="N434" s="495"/>
      <c r="O434" s="733"/>
      <c r="P434" s="33"/>
      <c r="Q434" s="33"/>
      <c r="R434" s="33"/>
      <c r="S434" s="174"/>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hidden="1" customHeight="1">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3"/>
      <c r="Q435" s="33"/>
      <c r="R435" s="33"/>
      <c r="S435" s="174"/>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hidden="1" customHeight="1">
      <c r="A436" s="815"/>
      <c r="D436" s="180"/>
      <c r="O436" s="573"/>
      <c r="P436" s="497"/>
      <c r="Q436" s="497"/>
      <c r="R436" s="497"/>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hidden="1">
      <c r="A437" s="815"/>
      <c r="D437" s="1534" t="str">
        <f>Translations!$B$160</f>
        <v>Pastabos:</v>
      </c>
      <c r="E437" s="1535"/>
      <c r="F437" s="1539"/>
      <c r="G437" s="1540"/>
      <c r="H437" s="1540"/>
      <c r="I437" s="1540"/>
      <c r="J437" s="1540"/>
      <c r="K437" s="1540"/>
      <c r="L437" s="1540"/>
      <c r="M437" s="1540"/>
      <c r="N437" s="1541"/>
      <c r="O437" s="573"/>
      <c r="P437" s="497"/>
      <c r="Q437" s="497"/>
      <c r="R437" s="497"/>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c r="A438" s="808"/>
      <c r="B438" s="495"/>
      <c r="C438" s="499"/>
      <c r="D438" s="500"/>
      <c r="E438" s="501"/>
      <c r="F438" s="499"/>
      <c r="G438" s="502"/>
      <c r="H438" s="502"/>
      <c r="I438" s="502"/>
      <c r="J438" s="502"/>
      <c r="K438" s="502"/>
      <c r="L438" s="502"/>
      <c r="M438" s="502"/>
      <c r="N438" s="502"/>
      <c r="O438" s="740"/>
      <c r="P438" s="494"/>
      <c r="Q438" s="494"/>
      <c r="R438" s="494"/>
      <c r="S438" s="58"/>
      <c r="T438" s="58"/>
      <c r="U438" s="498"/>
      <c r="V438" s="58"/>
      <c r="W438" s="58"/>
      <c r="X438" s="49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c r="A439" s="813"/>
      <c r="B439" s="495"/>
      <c r="C439" s="495"/>
      <c r="D439" s="180"/>
      <c r="E439" s="496"/>
      <c r="F439" s="495"/>
      <c r="G439" s="487"/>
      <c r="H439" s="487"/>
      <c r="I439" s="487"/>
      <c r="J439" s="487"/>
      <c r="K439" s="495"/>
      <c r="L439" s="487"/>
      <c r="M439" s="487"/>
      <c r="N439" s="487"/>
      <c r="O439" s="740"/>
      <c r="P439" s="494"/>
      <c r="Q439" s="494"/>
      <c r="R439" s="494"/>
      <c r="S439" s="23"/>
      <c r="T439" s="27" t="str">
        <f>IF(ISBLANK(E440),"",MATCH(E440,CNTR_SourceStreamNames,0))</f>
        <v/>
      </c>
      <c r="U439" s="618"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1"/>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3" t="s">
        <v>262</v>
      </c>
    </row>
    <row r="440" spans="1:78" s="142" customFormat="1" ht="15" hidden="1" customHeight="1" thickBot="1">
      <c r="A440" s="869" t="str">
        <f>IF(E440="","","PRINT")</f>
        <v/>
      </c>
      <c r="B440" s="166"/>
      <c r="C440" s="617">
        <f>C413+1</f>
        <v>15</v>
      </c>
      <c r="D440" s="166"/>
      <c r="E440" s="1542"/>
      <c r="F440" s="1543"/>
      <c r="G440" s="1543"/>
      <c r="H440" s="1543"/>
      <c r="I440" s="1543"/>
      <c r="J440" s="1544"/>
      <c r="K440" s="1545" t="str">
        <f>IF(E441="","",INDEX(EUwideConstants!$F$353:$F$394,MATCH(E441,EUConst_TierActivityListNames,0)))</f>
        <v/>
      </c>
      <c r="L440" s="1546"/>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3"/>
      <c r="T440" s="509" t="s">
        <v>393</v>
      </c>
      <c r="U440" s="23"/>
      <c r="V440" s="78"/>
      <c r="W440" s="56"/>
      <c r="X440" s="58"/>
      <c r="Y440" s="58"/>
      <c r="Z440" s="58"/>
      <c r="AA440" s="58"/>
      <c r="AB440" s="58"/>
      <c r="AC440" s="58"/>
      <c r="AD440" s="58"/>
      <c r="AE440" s="58"/>
      <c r="AF440" s="58"/>
      <c r="AG440" s="58"/>
      <c r="AH440" s="58"/>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6"/>
      <c r="BZ440" s="619" t="b">
        <f>CNTR_CalcRelevant=EUconst_NotRelevant</f>
        <v>0</v>
      </c>
    </row>
    <row r="441" spans="1:78" s="142" customFormat="1" ht="15" hidden="1" customHeight="1" thickBot="1">
      <c r="A441" s="808"/>
      <c r="B441" s="166"/>
      <c r="C441" s="166"/>
      <c r="D441" s="166"/>
      <c r="E441" s="1547" t="str">
        <f>IF(ISBLANK(E440),"",IF(INDEX(B_InstallationDescription!$E$71:$E$145,MATCH(U439,B_InstallationDescription!$D$71:$D$145,0))&gt;0,INDEX(B_InstallationDescription!$E$71:$E$145,MATCH(U439,B_InstallationDescription!$D$71:$D$145,0)),""))</f>
        <v/>
      </c>
      <c r="F441" s="1548"/>
      <c r="G441" s="1548"/>
      <c r="H441" s="1548"/>
      <c r="I441" s="1548"/>
      <c r="J441" s="1549"/>
      <c r="M441" s="346" t="str">
        <f>Translations!$B$666</f>
        <v>CO2, biomasės kilmės.:</v>
      </c>
      <c r="N441" s="1051" t="str">
        <f>IF(OR(K440="",T441=TRUE),"",INDEX(BC453:BE453,MATCH(K440,BC450:BE450,0)))</f>
        <v/>
      </c>
      <c r="O441" s="742" t="s">
        <v>260</v>
      </c>
      <c r="P441" s="494"/>
      <c r="Q441" s="352" t="str">
        <f>EUconst_SumBioCO2 &amp; "_" &amp; K440</f>
        <v>SUM_bioCO2_</v>
      </c>
      <c r="R441" s="494"/>
      <c r="S441" s="23"/>
      <c r="T441" s="48" t="str">
        <f>IF(E441="","",MATCH(E441,EUConst_TierActivityListNames,0)&gt;40)</f>
        <v/>
      </c>
      <c r="U441" s="23"/>
      <c r="V441" s="78"/>
      <c r="W441" s="56"/>
      <c r="X441" s="58"/>
      <c r="Y441" s="27" t="s">
        <v>93</v>
      </c>
      <c r="Z441" s="30"/>
      <c r="AA441" s="30"/>
      <c r="AB441" s="30"/>
      <c r="AC441" s="30"/>
      <c r="AD441" s="30"/>
      <c r="AE441" s="27" t="s">
        <v>302</v>
      </c>
      <c r="AF441" s="58"/>
      <c r="AG441" s="504"/>
      <c r="AH441" s="30"/>
      <c r="AI441" s="30"/>
      <c r="AJ441" s="504"/>
      <c r="AK441" s="504"/>
      <c r="AL441" s="342"/>
      <c r="AM441" s="27" t="s">
        <v>308</v>
      </c>
      <c r="AN441" s="505"/>
      <c r="AO441" s="505"/>
      <c r="AP441" s="30"/>
      <c r="AQ441" s="30"/>
      <c r="AR441" s="30"/>
      <c r="AS441" s="30"/>
      <c r="AT441" s="30"/>
      <c r="AU441" s="30"/>
      <c r="AV441" s="27" t="s">
        <v>315</v>
      </c>
      <c r="AW441" s="30"/>
      <c r="AX441" s="492"/>
      <c r="AY441" s="30"/>
      <c r="AZ441" s="30"/>
      <c r="BA441" s="30"/>
      <c r="BB441" s="27" t="s">
        <v>219</v>
      </c>
      <c r="BC441" s="30"/>
      <c r="BD441" s="30"/>
      <c r="BE441" s="30"/>
      <c r="BF441" s="30"/>
      <c r="BG441" s="27"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0"/>
      <c r="BZ441" s="30"/>
    </row>
    <row r="442" spans="1:78" s="142" customFormat="1" ht="4.5" hidden="1" customHeight="1">
      <c r="A442" s="808"/>
      <c r="B442" s="166"/>
      <c r="C442" s="166"/>
      <c r="D442" s="166"/>
      <c r="E442" s="166"/>
      <c r="F442" s="166"/>
      <c r="G442" s="166"/>
      <c r="M442" s="143"/>
      <c r="N442" s="143"/>
      <c r="O442" s="733"/>
      <c r="P442" s="33"/>
      <c r="Q442" s="33"/>
      <c r="R442" s="33"/>
      <c r="S442" s="23"/>
      <c r="T442" s="23"/>
      <c r="U442" s="23"/>
      <c r="V442" s="78"/>
      <c r="W442" s="30"/>
      <c r="X442" s="30"/>
      <c r="Y442" s="494"/>
      <c r="Z442" s="30"/>
      <c r="AA442" s="30"/>
      <c r="AB442" s="30"/>
      <c r="AC442" s="30"/>
      <c r="AD442" s="30"/>
      <c r="AE442" s="30"/>
      <c r="AF442" s="58"/>
      <c r="AG442" s="30"/>
      <c r="AH442" s="30"/>
      <c r="AI442" s="30"/>
      <c r="AJ442" s="504"/>
      <c r="AK442" s="504"/>
      <c r="AL442" s="342"/>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5" hidden="1" customHeight="1" thickBot="1">
      <c r="A443" s="808"/>
      <c r="B443" s="166"/>
      <c r="C443" s="166"/>
      <c r="D443" s="166"/>
      <c r="E443" s="1550" t="str">
        <f>IF(E440="","",IF(T441=TRUE,HYPERLINK("#JUMP_14",EUconst_MsgGoOnPFC),HYPERLINK("#JUMP_E_8",EUconst_FurtherGuidancePoint1)))</f>
        <v/>
      </c>
      <c r="F443" s="1550"/>
      <c r="G443" s="1550"/>
      <c r="H443" s="1550"/>
      <c r="I443" s="1550"/>
      <c r="J443" s="1550"/>
      <c r="K443" s="1550"/>
      <c r="L443" s="1550"/>
      <c r="M443" s="1550"/>
      <c r="N443" s="143"/>
      <c r="O443" s="733"/>
      <c r="P443" s="33"/>
      <c r="Q443" s="352" t="str">
        <f>EUconst_SumNonSustBioCO2 &amp; "_" &amp; K440</f>
        <v>SUM_bioNonSustCO2_</v>
      </c>
      <c r="R443" s="707"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4"/>
      <c r="AK443" s="504"/>
      <c r="AL443" s="342"/>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hidden="1" customHeight="1">
      <c r="A444" s="808"/>
      <c r="B444" s="166"/>
      <c r="C444" s="166"/>
      <c r="D444" s="166"/>
      <c r="E444" s="166"/>
      <c r="F444" s="166"/>
      <c r="G444" s="166"/>
      <c r="M444" s="143"/>
      <c r="N444" s="143"/>
      <c r="O444" s="733"/>
      <c r="P444" s="23"/>
      <c r="Q444" s="23"/>
      <c r="R444" s="23"/>
      <c r="S444" s="23"/>
      <c r="T444" s="23"/>
      <c r="U444" s="23"/>
      <c r="V444" s="30"/>
      <c r="W444" s="30"/>
      <c r="X444" s="30"/>
      <c r="Y444" s="494"/>
      <c r="Z444" s="30"/>
      <c r="AA444" s="30"/>
      <c r="AB444" s="30"/>
      <c r="AC444" s="30"/>
      <c r="AD444" s="30"/>
      <c r="AE444" s="30"/>
      <c r="AF444" s="58"/>
      <c r="AG444" s="30"/>
      <c r="AH444" s="30"/>
      <c r="AI444" s="30"/>
      <c r="AJ444" s="504"/>
      <c r="AK444" s="504"/>
      <c r="AL444" s="342"/>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hidden="1" customHeight="1" thickBot="1">
      <c r="A445" s="808"/>
      <c r="B445" s="166"/>
      <c r="C445" s="814" t="s">
        <v>4</v>
      </c>
      <c r="D445" s="512" t="str">
        <f>Translations!$B$622</f>
        <v>VD:</v>
      </c>
      <c r="E445" s="1560" t="str">
        <f>Translations!$B$667</f>
        <v>Ar veiklos duomenys gaunami sudedant išmatuotus kiekius (t. y. ne atliekant nuolatinius matavimus)?</v>
      </c>
      <c r="F445" s="1560"/>
      <c r="G445" s="1560"/>
      <c r="H445" s="1560"/>
      <c r="I445" s="1560"/>
      <c r="J445" s="1560"/>
      <c r="K445" s="1560"/>
      <c r="L445" s="1179"/>
      <c r="M445" s="507"/>
      <c r="O445" s="733"/>
      <c r="P445" s="23"/>
      <c r="Q445" s="23"/>
      <c r="R445" s="23"/>
      <c r="S445" s="23"/>
      <c r="T445" s="23"/>
      <c r="U445" s="23"/>
      <c r="V445" s="30"/>
      <c r="W445" s="30"/>
      <c r="X445" s="30"/>
      <c r="Y445" s="494"/>
      <c r="Z445" s="30"/>
      <c r="AA445" s="30"/>
      <c r="AB445" s="30"/>
      <c r="AC445" s="1172" t="b">
        <f>AND(E440&lt;&gt;"",T441&lt;&gt;TRUE)</f>
        <v>0</v>
      </c>
      <c r="AD445" s="30"/>
      <c r="AE445" s="30"/>
      <c r="AF445" s="58"/>
      <c r="AG445" s="30"/>
      <c r="AH445" s="30"/>
      <c r="AI445" s="30"/>
      <c r="AJ445" s="504"/>
      <c r="AK445" s="504"/>
      <c r="AL445" s="342"/>
      <c r="AM445" s="30"/>
      <c r="AN445" s="30"/>
      <c r="AO445" s="30"/>
      <c r="AP445" s="30"/>
      <c r="AQ445" s="30"/>
      <c r="AR445" s="30"/>
      <c r="AS445" s="30"/>
      <c r="AT445" s="1172"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2" t="b">
        <f>OR(CNTR_CalcRelevant=EUconst_NotRelevant,AND(COUNTA(CNTR_ListRelevantSections)&gt;0,OR(T441=TRUE,E440="")))</f>
        <v>1</v>
      </c>
    </row>
    <row r="446" spans="1:78" s="142" customFormat="1" ht="5.0999999999999996" hidden="1" customHeight="1">
      <c r="A446" s="808"/>
      <c r="B446" s="166"/>
      <c r="C446" s="166"/>
      <c r="D446" s="166"/>
      <c r="E446" s="166"/>
      <c r="F446" s="166"/>
      <c r="G446" s="166"/>
      <c r="H446" s="495"/>
      <c r="I446" s="495"/>
      <c r="J446" s="495"/>
      <c r="K446" s="495"/>
      <c r="L446" s="495"/>
      <c r="M446" s="507"/>
      <c r="O446" s="733"/>
      <c r="P446" s="23"/>
      <c r="Q446" s="23"/>
      <c r="R446" s="23"/>
      <c r="S446" s="23"/>
      <c r="T446" s="23"/>
      <c r="U446" s="23"/>
      <c r="V446" s="30"/>
      <c r="W446" s="30"/>
      <c r="X446" s="30"/>
      <c r="Y446" s="494"/>
      <c r="Z446" s="30"/>
      <c r="AA446" s="30"/>
      <c r="AB446" s="30"/>
      <c r="AC446" s="492"/>
      <c r="AD446" s="30"/>
      <c r="AE446" s="30"/>
      <c r="AF446" s="58"/>
      <c r="AG446" s="30"/>
      <c r="AH446" s="30"/>
      <c r="AI446" s="30"/>
      <c r="AJ446" s="504"/>
      <c r="AK446" s="504"/>
      <c r="AL446" s="342"/>
      <c r="AM446" s="30"/>
      <c r="AN446" s="30"/>
      <c r="AO446" s="30"/>
      <c r="AP446" s="30"/>
      <c r="AQ446" s="30"/>
      <c r="AR446" s="30"/>
      <c r="AS446" s="30"/>
      <c r="AT446" s="492"/>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2"/>
    </row>
    <row r="447" spans="1:78" s="142" customFormat="1" ht="12.75" hidden="1" customHeight="1" thickBot="1">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3"/>
      <c r="Q447" s="23"/>
      <c r="R447" s="23"/>
      <c r="S447" s="23"/>
      <c r="T447" s="23"/>
      <c r="U447" s="23"/>
      <c r="V447" s="30"/>
      <c r="W447" s="30"/>
      <c r="X447" s="30"/>
      <c r="Y447" s="494"/>
      <c r="Z447" s="30"/>
      <c r="AA447" s="30"/>
      <c r="AB447" s="30"/>
      <c r="AC447" s="1172" t="b">
        <f>AC445</f>
        <v>0</v>
      </c>
      <c r="AD447" s="30"/>
      <c r="AE447" s="30"/>
      <c r="AF447" s="58"/>
      <c r="AG447" s="30"/>
      <c r="AH447" s="30"/>
      <c r="AI447" s="30"/>
      <c r="AJ447" s="504"/>
      <c r="AK447" s="504"/>
      <c r="AL447" s="342"/>
      <c r="AM447" s="30"/>
      <c r="AN447" s="30"/>
      <c r="AO447" s="30"/>
      <c r="AP447" s="30"/>
      <c r="AQ447" s="30"/>
      <c r="AR447" s="30"/>
      <c r="AS447" s="30"/>
      <c r="AT447" s="1172"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2" t="b">
        <f>OR(BZ445,AND(NOT(ISBLANK(L445)),L445=FALSE))</f>
        <v>1</v>
      </c>
    </row>
    <row r="448" spans="1:78" s="142" customFormat="1" ht="5.0999999999999996" hidden="1" customHeight="1">
      <c r="A448" s="808"/>
      <c r="B448" s="166"/>
      <c r="C448" s="166"/>
      <c r="D448" s="166"/>
      <c r="E448" s="166"/>
      <c r="F448" s="166"/>
      <c r="G448" s="166"/>
      <c r="M448" s="143"/>
      <c r="N448" s="143"/>
      <c r="O448" s="733"/>
      <c r="P448" s="23"/>
      <c r="Q448" s="23"/>
      <c r="R448" s="23"/>
      <c r="S448" s="23"/>
      <c r="T448" s="23"/>
      <c r="U448" s="23"/>
      <c r="V448" s="30"/>
      <c r="W448" s="30"/>
      <c r="X448" s="30"/>
      <c r="Y448" s="494"/>
      <c r="Z448" s="30"/>
      <c r="AA448" s="30"/>
      <c r="AB448" s="30"/>
      <c r="AC448" s="30"/>
      <c r="AD448" s="30"/>
      <c r="AE448" s="30"/>
      <c r="AF448" s="58"/>
      <c r="AG448" s="30"/>
      <c r="AH448" s="30"/>
      <c r="AI448" s="30"/>
      <c r="AJ448" s="504"/>
      <c r="AK448" s="504"/>
      <c r="AL448" s="342"/>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hidden="1" customHeight="1" thickBot="1">
      <c r="A449" s="808"/>
      <c r="B449" s="166"/>
      <c r="C449" s="166"/>
      <c r="D449" s="166"/>
      <c r="E449" s="166"/>
      <c r="F449" s="506" t="str">
        <f>Translations!$B$333</f>
        <v>Pakopa</v>
      </c>
      <c r="G449" s="1557" t="str">
        <f>Translations!$B$672</f>
        <v>pakopos aprašas</v>
      </c>
      <c r="H449" s="1557"/>
      <c r="I449" s="1555" t="str">
        <f>Translations!$B$158</f>
        <v>Vienetas</v>
      </c>
      <c r="J449" s="1555"/>
      <c r="K449" s="1555" t="str">
        <f>Translations!$B$673</f>
        <v>Vertė</v>
      </c>
      <c r="L449" s="1555"/>
      <c r="M449" s="507" t="str">
        <f>Translations!$B$610</f>
        <v>klaida</v>
      </c>
      <c r="O449" s="733"/>
      <c r="P449" s="508"/>
      <c r="Q449" s="352" t="str">
        <f>EUconst_SumEnergyIN &amp; "_" &amp; K440</f>
        <v>SUM_EnergyIN_</v>
      </c>
      <c r="R449" s="399" t="str">
        <f>IF(OR(K440="",T441)=TRUE,"",INDEX(BC455:BE455,MATCH(K440,BC450:BE450,0)))</f>
        <v/>
      </c>
      <c r="S449" s="30"/>
      <c r="T449" s="489"/>
      <c r="U449" s="30"/>
      <c r="V449" s="509" t="s">
        <v>303</v>
      </c>
      <c r="W449" s="30"/>
      <c r="X449" s="30"/>
      <c r="Y449" s="494" t="s">
        <v>566</v>
      </c>
      <c r="Z449" s="494" t="s">
        <v>318</v>
      </c>
      <c r="AA449" s="30"/>
      <c r="AB449" s="30"/>
      <c r="AC449" s="505" t="s">
        <v>309</v>
      </c>
      <c r="AD449" s="30"/>
      <c r="AE449" s="30"/>
      <c r="AF449" s="492" t="s">
        <v>305</v>
      </c>
      <c r="AG449" s="492" t="s">
        <v>306</v>
      </c>
      <c r="AH449" s="494" t="s">
        <v>304</v>
      </c>
      <c r="AI449" s="504" t="s">
        <v>307</v>
      </c>
      <c r="AJ449" s="504" t="s">
        <v>567</v>
      </c>
      <c r="AK449" s="510" t="s">
        <v>311</v>
      </c>
      <c r="AL449" s="342"/>
      <c r="AM449" s="30"/>
      <c r="AN449" s="492" t="s">
        <v>305</v>
      </c>
      <c r="AO449" s="492" t="s">
        <v>306</v>
      </c>
      <c r="AP449" s="511" t="s">
        <v>310</v>
      </c>
      <c r="AQ449" s="504" t="s">
        <v>569</v>
      </c>
      <c r="AR449" s="504" t="s">
        <v>568</v>
      </c>
      <c r="AS449" s="510" t="s">
        <v>311</v>
      </c>
      <c r="AT449" s="510" t="s">
        <v>311</v>
      </c>
      <c r="AU449" s="30"/>
      <c r="AV449" s="492"/>
      <c r="AW449" s="492"/>
      <c r="AX449" s="492" t="s">
        <v>321</v>
      </c>
      <c r="AY449" s="492"/>
      <c r="AZ449" s="492"/>
      <c r="BA449" s="492"/>
      <c r="BB449" s="492"/>
      <c r="BC449" s="492"/>
      <c r="BD449" s="492"/>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3" t="s">
        <v>262</v>
      </c>
    </row>
    <row r="450" spans="1:78" s="142" customFormat="1" ht="12.75" hidden="1" customHeight="1" thickBot="1">
      <c r="A450" s="808"/>
      <c r="B450" s="166"/>
      <c r="C450" s="777" t="s">
        <v>196</v>
      </c>
      <c r="D450" s="512" t="str">
        <f>Translations!$B$622</f>
        <v>VD:</v>
      </c>
      <c r="E450" s="513"/>
      <c r="F450" s="402"/>
      <c r="G450" s="1532" t="str">
        <f>IF(OR(ISBLANK(F450),F450=EUconst_NoTier),"",IF(Z450=0,EUconst_NA,IF(ISERROR(Z450),"",Z450)))</f>
        <v/>
      </c>
      <c r="H450" s="1533"/>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0"/>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0"/>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0"/>
      <c r="AV450" s="492" t="s">
        <v>314</v>
      </c>
      <c r="AW450" s="492" t="s">
        <v>319</v>
      </c>
      <c r="AX450" s="524"/>
      <c r="AY450" s="30" t="s">
        <v>542</v>
      </c>
      <c r="AZ450" s="30"/>
      <c r="BA450" s="30"/>
      <c r="BB450" s="504"/>
      <c r="BC450" s="493" t="str">
        <f>EUconst_Fuel</f>
        <v>Degimas</v>
      </c>
      <c r="BD450" s="493" t="str">
        <f>EUconst_ProcessCarbonate</f>
        <v>Proceso metu išsiskiriančios ŠESD</v>
      </c>
      <c r="BE450" s="493"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4" t="b">
        <f>BZ445</f>
        <v>1</v>
      </c>
    </row>
    <row r="451" spans="1:78" s="142" customFormat="1" ht="4.5" hidden="1" customHeight="1">
      <c r="A451" s="808"/>
      <c r="B451" s="166"/>
      <c r="C451" s="814"/>
      <c r="D451" s="306"/>
      <c r="F451" s="143"/>
      <c r="G451" s="143"/>
      <c r="H451" s="143" t="s">
        <v>236</v>
      </c>
      <c r="I451" s="525"/>
      <c r="J451" s="525"/>
      <c r="K451" s="143"/>
      <c r="L451" s="143"/>
      <c r="M451" s="710"/>
      <c r="O451" s="733"/>
      <c r="P451" s="33"/>
      <c r="Q451" s="33"/>
      <c r="R451" s="33"/>
      <c r="S451" s="30"/>
      <c r="T451" s="155"/>
      <c r="U451" s="497"/>
      <c r="V451" s="30"/>
      <c r="W451" s="30"/>
      <c r="X451" s="497"/>
      <c r="Y451" s="526"/>
      <c r="Z451" s="30"/>
      <c r="AA451" s="30"/>
      <c r="AB451" s="30"/>
      <c r="AC451" s="30"/>
      <c r="AD451" s="30"/>
      <c r="AE451" s="30"/>
      <c r="AF451" s="30"/>
      <c r="AG451" s="30"/>
      <c r="AH451" s="30"/>
      <c r="AI451" s="30"/>
      <c r="AJ451" s="30"/>
      <c r="AK451" s="30"/>
      <c r="AL451" s="342"/>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3"/>
    </row>
    <row r="452" spans="1:78" s="142" customFormat="1" ht="12.75" hidden="1" customHeight="1" thickBot="1">
      <c r="A452" s="808"/>
      <c r="B452" s="166"/>
      <c r="C452" s="814" t="s">
        <v>197</v>
      </c>
      <c r="D452" s="512" t="str">
        <f>Translations!$B$634</f>
        <v>(prelim.) ITF:</v>
      </c>
      <c r="E452" s="513"/>
      <c r="F452" s="527"/>
      <c r="G452" s="1532" t="str">
        <f t="shared" ref="G452:G458" si="98">IF(OR(ISBLANK(F452),F452=EUconst_NoTier),"",IF(Z452=0,EUconst_NotApplicable,IF(ISERROR(Z452),"",Z452)))</f>
        <v/>
      </c>
      <c r="H452" s="1556"/>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3"/>
      <c r="Q452" s="33"/>
      <c r="R452" s="33"/>
      <c r="S452" s="30"/>
      <c r="T452" s="530" t="str">
        <f>EUconst_CNTR_EF&amp;E441</f>
        <v>EF_</v>
      </c>
      <c r="U452" s="497"/>
      <c r="V452" s="531" t="str">
        <f>V450</f>
        <v/>
      </c>
      <c r="W452" s="30"/>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0"/>
      <c r="AC452" s="535" t="b">
        <f>AND(AC450,Y452&lt;&gt;EUconst_NA)</f>
        <v>0</v>
      </c>
      <c r="AD452" s="30"/>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0"/>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0"/>
      <c r="BA452" s="30"/>
      <c r="BB452" s="547" t="s">
        <v>594</v>
      </c>
      <c r="BC452" s="546" t="str">
        <f>IF(K440=BC450,AR450*IF(AJ452=EUconst_tCO2pTJ,(AR453/1000),1)*AR452*AR454*AR458,"")</f>
        <v/>
      </c>
      <c r="BD452" s="524" t="str">
        <f>IF(K440=BD450,AR450*AR452*AR455*AR458,"")</f>
        <v/>
      </c>
      <c r="BE452" s="523"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1" t="b">
        <f>OR(BZ450,Y452=EUconst_NA)</f>
        <v>1</v>
      </c>
    </row>
    <row r="453" spans="1:78" s="142" customFormat="1" ht="12.75" hidden="1" customHeight="1" thickBot="1">
      <c r="A453" s="808"/>
      <c r="B453" s="166"/>
      <c r="C453" s="814" t="s">
        <v>198</v>
      </c>
      <c r="D453" s="512" t="str">
        <f>Translations!$B$636</f>
        <v>GŠV:</v>
      </c>
      <c r="E453" s="513"/>
      <c r="F453" s="548"/>
      <c r="G453" s="1532" t="str">
        <f t="shared" si="98"/>
        <v/>
      </c>
      <c r="H453" s="1533"/>
      <c r="I453" s="1169" t="str">
        <f>AJ453</f>
        <v/>
      </c>
      <c r="J453" s="549"/>
      <c r="K453" s="550" t="str">
        <f t="shared" si="99"/>
        <v/>
      </c>
      <c r="L453" s="551"/>
      <c r="M453" s="709" t="str">
        <f>IF(AND(E441&lt;&gt;"",OR(F453="",COUNT(K453:L453)=0),Y453&lt;&gt;EUconst_NA,T441&lt;&gt;TRUE),EUconst_ERR_Incomplete,IF(COUNTIF(AX453:AZ453,TRUE)&gt;0,EUconst_ERR_Inconsistent,""))</f>
        <v/>
      </c>
      <c r="O453" s="733"/>
      <c r="P453" s="33"/>
      <c r="Q453" s="33"/>
      <c r="R453" s="33"/>
      <c r="S453" s="30"/>
      <c r="T453" s="552" t="str">
        <f>EUconst_CNTR_NCV&amp;E441</f>
        <v>NCV_</v>
      </c>
      <c r="U453" s="497"/>
      <c r="V453" s="553" t="str">
        <f t="shared" ref="V453:V458" si="104">V452</f>
        <v/>
      </c>
      <c r="W453" s="30"/>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0"/>
      <c r="AC453" s="557" t="b">
        <f>AND(AC450,Y453&lt;&gt;EUconst_NA)</f>
        <v>0</v>
      </c>
      <c r="AD453" s="30"/>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0"/>
      <c r="AV453" s="567" t="b">
        <f t="shared" si="101"/>
        <v>0</v>
      </c>
      <c r="AW453" s="568" t="b">
        <f t="shared" si="102"/>
        <v>0</v>
      </c>
      <c r="AX453" s="30"/>
      <c r="AY453" s="553" t="b">
        <f t="shared" si="103"/>
        <v>0</v>
      </c>
      <c r="AZ453" s="30"/>
      <c r="BA453" s="30"/>
      <c r="BB453" s="547" t="s">
        <v>595</v>
      </c>
      <c r="BC453" s="546" t="str">
        <f>IF(K440=BC450,AR450*IF(AJ452=EUconst_tCO2pTJ,(AR453/1000),1)*AR452*AR454*AR457,"")</f>
        <v/>
      </c>
      <c r="BD453" s="524" t="str">
        <f>IF(K440=BD450,AR450*AR452*AR455*AR457,"")</f>
        <v/>
      </c>
      <c r="BE453" s="523"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3" t="b">
        <f>OR(BZ450,Y453=EUconst_NA)</f>
        <v>1</v>
      </c>
    </row>
    <row r="454" spans="1:78" s="142" customFormat="1" ht="12.75" hidden="1" customHeight="1" thickBot="1">
      <c r="A454" s="808"/>
      <c r="B454" s="166"/>
      <c r="C454" s="814" t="s">
        <v>199</v>
      </c>
      <c r="D454" s="512" t="str">
        <f>Translations!$B$638</f>
        <v>OksK:</v>
      </c>
      <c r="E454" s="513"/>
      <c r="F454" s="548"/>
      <c r="G454" s="1532" t="str">
        <f t="shared" si="98"/>
        <v/>
      </c>
      <c r="H454" s="1533"/>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3"/>
      <c r="Q454" s="33"/>
      <c r="R454" s="33"/>
      <c r="S454" s="30"/>
      <c r="T454" s="552" t="str">
        <f>EUconst_CNTR_OxidationFactor&amp;E441</f>
        <v>OxF_</v>
      </c>
      <c r="U454" s="497"/>
      <c r="V454" s="553" t="str">
        <f t="shared" si="104"/>
        <v/>
      </c>
      <c r="W454" s="30"/>
      <c r="X454" s="497"/>
      <c r="Y454" s="554" t="str">
        <f>IF(OR(T441=TRUE,E441=""),"",INDEX(EUwideConstants!$N:$N,MATCH(T454,EUwideConstants!$Q:$Q,0)))</f>
        <v/>
      </c>
      <c r="Z454" s="555" t="str">
        <f>IF(ISBLANK(F454),"",IF(F454=EUconst_NA,"",INDEX(EUwideConstants!$H:$M,MATCH(T454,EUwideConstants!$Q:$Q,0),MATCH(F454,CNTR_TierList,0))))</f>
        <v/>
      </c>
      <c r="AA454" s="534" t="str">
        <f>IF(F454=1,1,"")</f>
        <v/>
      </c>
      <c r="AB454" s="30"/>
      <c r="AC454" s="557" t="b">
        <f>AND(AC450,Y454&lt;&gt;EUconst_NA)</f>
        <v>0</v>
      </c>
      <c r="AD454" s="30"/>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0"/>
      <c r="AV454" s="567" t="b">
        <f t="shared" si="101"/>
        <v>0</v>
      </c>
      <c r="AW454" s="568" t="b">
        <f t="shared" si="102"/>
        <v>0</v>
      </c>
      <c r="AX454" s="30"/>
      <c r="AY454" s="594" t="b">
        <f t="shared" si="103"/>
        <v>0</v>
      </c>
      <c r="AZ454" s="531" t="b">
        <f>AR454&gt;100%</f>
        <v>0</v>
      </c>
      <c r="BA454" s="30"/>
      <c r="BB454" s="547" t="s">
        <v>290</v>
      </c>
      <c r="BC454" s="546" t="str">
        <f>IF(K440=BC450,AR450*IF(AJ452=EUconst_tCO2pTJ,(AR453/1000),1)*AR452*AR454*(1-AR457),"")</f>
        <v/>
      </c>
      <c r="BD454" s="524" t="str">
        <f>IF(K440=BD450,AR450*AR452*AR455*(1-AR457),"")</f>
        <v/>
      </c>
      <c r="BE454" s="523"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3" t="b">
        <f>OR(BZ450,Y454=EUconst_NA)</f>
        <v>1</v>
      </c>
    </row>
    <row r="455" spans="1:78" s="142" customFormat="1" ht="12.75" hidden="1" customHeight="1" thickBot="1">
      <c r="A455" s="808"/>
      <c r="B455" s="166"/>
      <c r="C455" s="814" t="s">
        <v>200</v>
      </c>
      <c r="D455" s="512" t="str">
        <f>Translations!$B$639</f>
        <v>KonvK:</v>
      </c>
      <c r="E455" s="513"/>
      <c r="F455" s="548"/>
      <c r="G455" s="1532" t="str">
        <f t="shared" si="98"/>
        <v/>
      </c>
      <c r="H455" s="1533"/>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3"/>
      <c r="Q455" s="33"/>
      <c r="R455" s="33"/>
      <c r="S455" s="30"/>
      <c r="T455" s="552" t="str">
        <f>EUconst_CNTR_ConversionFactor&amp;E441</f>
        <v>ConvF_</v>
      </c>
      <c r="U455" s="497"/>
      <c r="V455" s="553" t="str">
        <f t="shared" si="104"/>
        <v/>
      </c>
      <c r="W455" s="30"/>
      <c r="X455" s="497"/>
      <c r="Y455" s="554" t="str">
        <f>IF(OR(T441=TRUE,E441=""),"",INDEX(EUwideConstants!$N:$N,MATCH(T455,EUwideConstants!$Q:$Q,0)))</f>
        <v/>
      </c>
      <c r="Z455" s="555" t="str">
        <f>IF(ISBLANK(F455),"",IF(F455=EUconst_NA,"",INDEX(EUwideConstants!$H:$M,MATCH(T455,EUwideConstants!$Q:$Q,0),MATCH(F455,CNTR_TierList,0))))</f>
        <v/>
      </c>
      <c r="AA455" s="582" t="str">
        <f>IF(F455=1,1,"")</f>
        <v/>
      </c>
      <c r="AB455" s="30"/>
      <c r="AC455" s="557" t="b">
        <f>AND(AC450,Y455&lt;&gt;EUconst_NA)</f>
        <v>0</v>
      </c>
      <c r="AD455" s="30"/>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0"/>
      <c r="AV455" s="567" t="b">
        <f t="shared" si="101"/>
        <v>0</v>
      </c>
      <c r="AW455" s="568" t="b">
        <f t="shared" si="102"/>
        <v>0</v>
      </c>
      <c r="AX455" s="30"/>
      <c r="AY455" s="594" t="b">
        <f t="shared" si="103"/>
        <v>0</v>
      </c>
      <c r="AZ455" s="580" t="b">
        <f>AR455&gt;100%</f>
        <v>0</v>
      </c>
      <c r="BA455" s="30"/>
      <c r="BB455" s="578" t="s">
        <v>487</v>
      </c>
      <c r="BC455" s="579">
        <f>AR450*AR453/1000*(1-AR457)</f>
        <v>0</v>
      </c>
      <c r="BD455" s="580">
        <f>BC455</f>
        <v>0</v>
      </c>
      <c r="BE455" s="581">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3" t="b">
        <f>OR(BZ450,Y455=EUconst_NA)</f>
        <v>1</v>
      </c>
    </row>
    <row r="456" spans="1:78" s="142" customFormat="1" ht="12.75" hidden="1" customHeight="1" thickBot="1">
      <c r="A456" s="808"/>
      <c r="B456" s="166"/>
      <c r="C456" s="814" t="s">
        <v>329</v>
      </c>
      <c r="D456" s="512" t="str">
        <f>Translations!$B$640</f>
        <v>AnglK:</v>
      </c>
      <c r="E456" s="513"/>
      <c r="F456" s="548"/>
      <c r="G456" s="1532" t="str">
        <f t="shared" si="98"/>
        <v/>
      </c>
      <c r="H456" s="1533"/>
      <c r="I456" s="1170" t="str">
        <f>AJ456</f>
        <v/>
      </c>
      <c r="J456" s="586"/>
      <c r="K456" s="587" t="str">
        <f t="shared" si="99"/>
        <v/>
      </c>
      <c r="L456" s="588"/>
      <c r="M456" s="709" t="str">
        <f>IF(AND(E441&lt;&gt;"",OR(F456="",COUNT(K456:L456)=0),Y456&lt;&gt;EUconst_NA,T441&lt;&gt;TRUE),EUconst_ERR_Incomplete,IF(COUNTIF(AX456:AZ456,TRUE)&gt;0,EUconst_ERR_Inconsistent,""))</f>
        <v/>
      </c>
      <c r="O456" s="733"/>
      <c r="P456" s="33"/>
      <c r="Q456" s="33"/>
      <c r="R456" s="33"/>
      <c r="S456" s="30"/>
      <c r="T456" s="552" t="str">
        <f>EUconst_CNTR_CarbonContent&amp;E441</f>
        <v>CarbC_</v>
      </c>
      <c r="U456" s="497"/>
      <c r="V456" s="553" t="str">
        <f t="shared" si="104"/>
        <v/>
      </c>
      <c r="W456" s="30"/>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0"/>
      <c r="AC456" s="557" t="b">
        <f>AND(AC450,Y456&lt;&gt;EUconst_NA)</f>
        <v>0</v>
      </c>
      <c r="AD456" s="30"/>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0"/>
      <c r="AV456" s="567" t="b">
        <f t="shared" si="101"/>
        <v>0</v>
      </c>
      <c r="AW456" s="568" t="b">
        <f t="shared" si="102"/>
        <v>0</v>
      </c>
      <c r="AX456" s="546" t="b">
        <f>OR(AND(AJ450=EUconst_kNm3,AJ456=EUconst_tCpt),AND(AJ450=EUconst_t,AJ456=EUconst_tCpkNm3))</f>
        <v>0</v>
      </c>
      <c r="AY456" s="553" t="b">
        <f t="shared" si="103"/>
        <v>0</v>
      </c>
      <c r="AZ456" s="30"/>
      <c r="BA456" s="30"/>
      <c r="BB456" s="578" t="s">
        <v>488</v>
      </c>
      <c r="BC456" s="579">
        <f>AR450*AR453/1000*AR457</f>
        <v>0</v>
      </c>
      <c r="BD456" s="580">
        <f>BC456</f>
        <v>0</v>
      </c>
      <c r="BE456" s="581">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3" t="b">
        <f>OR(BZ450,Y456=EUconst_NA)</f>
        <v>1</v>
      </c>
    </row>
    <row r="457" spans="1:78" s="142" customFormat="1" ht="12.75" hidden="1" customHeight="1">
      <c r="A457" s="808"/>
      <c r="B457" s="166"/>
      <c r="C457" s="777" t="s">
        <v>330</v>
      </c>
      <c r="D457" s="512" t="str">
        <f>Translations!$B$641</f>
        <v>BioC:</v>
      </c>
      <c r="E457" s="513"/>
      <c r="F457" s="548"/>
      <c r="G457" s="1532" t="str">
        <f t="shared" si="98"/>
        <v/>
      </c>
      <c r="H457" s="1533"/>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0"/>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0"/>
      <c r="AC457" s="557" t="b">
        <f>AND(AC450,Y457&lt;&gt;EUconst_NA)</f>
        <v>0</v>
      </c>
      <c r="AD457" s="30"/>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0"/>
      <c r="AV457" s="567" t="b">
        <f t="shared" si="101"/>
        <v>0</v>
      </c>
      <c r="AW457" s="568" t="b">
        <f t="shared" si="102"/>
        <v>0</v>
      </c>
      <c r="AX457" s="30"/>
      <c r="AY457" s="594" t="b">
        <f t="shared" si="103"/>
        <v>0</v>
      </c>
      <c r="AZ457" s="531"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3" t="b">
        <f>OR(BZ450,Y457=EUconst_NA)</f>
        <v>1</v>
      </c>
    </row>
    <row r="458" spans="1:78" s="142" customFormat="1" ht="12.75" hidden="1" customHeight="1" thickBot="1">
      <c r="A458" s="808"/>
      <c r="B458" s="166"/>
      <c r="C458" s="777" t="s">
        <v>454</v>
      </c>
      <c r="D458" s="512" t="str">
        <f>Translations!$B$647</f>
        <v>Netvar. BioC:</v>
      </c>
      <c r="E458" s="513"/>
      <c r="F458" s="597"/>
      <c r="G458" s="1532" t="str">
        <f t="shared" si="98"/>
        <v/>
      </c>
      <c r="H458" s="1533"/>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0"/>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0"/>
      <c r="AC458" s="603" t="b">
        <f>AND(AC450,Y458&lt;&gt;EUconst_NA)</f>
        <v>0</v>
      </c>
      <c r="AD458" s="30"/>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0"/>
      <c r="AV458" s="613" t="b">
        <f t="shared" si="101"/>
        <v>0</v>
      </c>
      <c r="AW458" s="614" t="b">
        <f t="shared" si="102"/>
        <v>0</v>
      </c>
      <c r="AX458" s="30"/>
      <c r="AY458" s="579" t="b">
        <f t="shared" si="103"/>
        <v>0</v>
      </c>
      <c r="AZ458" s="580"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80" t="b">
        <f>OR(BZ450,Y458=EUconst_NA)</f>
        <v>1</v>
      </c>
    </row>
    <row r="459" spans="1:78" s="142" customFormat="1" ht="5.0999999999999996" hidden="1" customHeight="1">
      <c r="A459" s="808"/>
      <c r="B459" s="166"/>
      <c r="C459" s="166"/>
      <c r="D459" s="180"/>
      <c r="O459" s="733"/>
      <c r="P459" s="33"/>
      <c r="Q459" s="33"/>
      <c r="R459" s="33"/>
      <c r="S459" s="174"/>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hidden="1" customHeight="1">
      <c r="A460" s="808"/>
      <c r="B460" s="166"/>
      <c r="C460" s="166"/>
      <c r="D460" s="1558" t="str">
        <f>Translations!$B$674</f>
        <v>Pakopos galioja nuo:</v>
      </c>
      <c r="E460" s="1558"/>
      <c r="F460" s="1559"/>
      <c r="G460" s="1052"/>
      <c r="H460" s="615" t="str">
        <f>Translations!$B$675</f>
        <v>iki:</v>
      </c>
      <c r="I460" s="1052"/>
      <c r="J460" s="1536" t="str">
        <f>Translations!$B$676</f>
        <v>Atliekų katalogo numeris (jeigu taikytina):</v>
      </c>
      <c r="K460" s="1537"/>
      <c r="L460" s="1537"/>
      <c r="M460" s="1538"/>
      <c r="N460" s="1289"/>
      <c r="O460" s="733"/>
      <c r="P460" s="33"/>
      <c r="Q460" s="33"/>
      <c r="R460" s="33"/>
      <c r="S460" s="1290"/>
      <c r="T460" s="492"/>
      <c r="U460" s="492"/>
      <c r="V460" s="48" t="b">
        <f>IF(V450="",FALSE,INDEX(CNTR_IsWaste,MATCH(V450,MSParameters!$A$218:$A$376,0)))</f>
        <v>0</v>
      </c>
      <c r="W460" s="1290"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hidden="1" customHeight="1">
      <c r="A461" s="808"/>
      <c r="B461" s="166"/>
      <c r="C461" s="166"/>
      <c r="D461" s="615"/>
      <c r="E461" s="495"/>
      <c r="F461" s="495"/>
      <c r="G461" s="495"/>
      <c r="H461" s="495"/>
      <c r="I461" s="495"/>
      <c r="J461" s="495"/>
      <c r="K461" s="495"/>
      <c r="L461" s="495"/>
      <c r="M461" s="495"/>
      <c r="N461" s="495"/>
      <c r="O461" s="733"/>
      <c r="P461" s="33"/>
      <c r="Q461" s="33"/>
      <c r="R461" s="33"/>
      <c r="S461" s="174"/>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hidden="1" customHeight="1">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3"/>
      <c r="Q462" s="33"/>
      <c r="R462" s="33"/>
      <c r="S462" s="174"/>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4.5" hidden="1" customHeight="1">
      <c r="A463" s="815"/>
      <c r="D463" s="180"/>
      <c r="O463" s="573"/>
      <c r="P463" s="497"/>
      <c r="Q463" s="497"/>
      <c r="R463" s="497"/>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hidden="1">
      <c r="A464" s="815"/>
      <c r="D464" s="1534" t="str">
        <f>Translations!$B$160</f>
        <v>Pastabos:</v>
      </c>
      <c r="E464" s="1535"/>
      <c r="F464" s="1539"/>
      <c r="G464" s="1540"/>
      <c r="H464" s="1540"/>
      <c r="I464" s="1540"/>
      <c r="J464" s="1540"/>
      <c r="K464" s="1540"/>
      <c r="L464" s="1540"/>
      <c r="M464" s="1540"/>
      <c r="N464" s="1541"/>
      <c r="O464" s="573"/>
      <c r="P464" s="497"/>
      <c r="Q464" s="497"/>
      <c r="R464" s="497"/>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c r="A465" s="808"/>
      <c r="B465" s="495"/>
      <c r="C465" s="499"/>
      <c r="D465" s="500"/>
      <c r="E465" s="501"/>
      <c r="F465" s="499"/>
      <c r="G465" s="502"/>
      <c r="H465" s="502"/>
      <c r="I465" s="502"/>
      <c r="J465" s="502"/>
      <c r="K465" s="502"/>
      <c r="L465" s="502"/>
      <c r="M465" s="502"/>
      <c r="N465" s="502"/>
      <c r="O465" s="740"/>
      <c r="P465" s="494"/>
      <c r="Q465" s="494"/>
      <c r="R465" s="494"/>
      <c r="S465" s="58"/>
      <c r="T465" s="58"/>
      <c r="U465" s="498"/>
      <c r="V465" s="58"/>
      <c r="W465" s="58"/>
      <c r="X465" s="49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c r="A466" s="813"/>
      <c r="B466" s="495"/>
      <c r="C466" s="495"/>
      <c r="D466" s="180"/>
      <c r="E466" s="496"/>
      <c r="F466" s="495"/>
      <c r="G466" s="487"/>
      <c r="H466" s="487"/>
      <c r="I466" s="487"/>
      <c r="J466" s="487"/>
      <c r="K466" s="495"/>
      <c r="L466" s="487"/>
      <c r="M466" s="487"/>
      <c r="N466" s="487"/>
      <c r="O466" s="740"/>
      <c r="P466" s="494"/>
      <c r="Q466" s="494"/>
      <c r="R466" s="494"/>
      <c r="S466" s="23"/>
      <c r="T466" s="27" t="str">
        <f>IF(ISBLANK(E467),"",MATCH(E467,CNTR_SourceStreamNames,0))</f>
        <v/>
      </c>
      <c r="U466" s="618"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1"/>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3" t="s">
        <v>262</v>
      </c>
    </row>
    <row r="467" spans="1:78" s="142" customFormat="1" ht="15" hidden="1" customHeight="1" thickBot="1">
      <c r="A467" s="869" t="str">
        <f>IF(E467="","","PRINT")</f>
        <v/>
      </c>
      <c r="B467" s="166"/>
      <c r="C467" s="617">
        <f>C440+1</f>
        <v>16</v>
      </c>
      <c r="D467" s="166"/>
      <c r="E467" s="1542"/>
      <c r="F467" s="1543"/>
      <c r="G467" s="1543"/>
      <c r="H467" s="1543"/>
      <c r="I467" s="1543"/>
      <c r="J467" s="1544"/>
      <c r="K467" s="1545" t="str">
        <f>IF(E468="","",INDEX(EUwideConstants!$F$353:$F$394,MATCH(E468,EUConst_TierActivityListNames,0)))</f>
        <v/>
      </c>
      <c r="L467" s="1546"/>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3"/>
      <c r="T467" s="509" t="s">
        <v>393</v>
      </c>
      <c r="U467" s="23"/>
      <c r="V467" s="78"/>
      <c r="W467" s="56"/>
      <c r="X467" s="58"/>
      <c r="Y467" s="58"/>
      <c r="Z467" s="58"/>
      <c r="AA467" s="58"/>
      <c r="AB467" s="58"/>
      <c r="AC467" s="58"/>
      <c r="AD467" s="58"/>
      <c r="AE467" s="58"/>
      <c r="AF467" s="58"/>
      <c r="AG467" s="58"/>
      <c r="AH467" s="58"/>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6"/>
      <c r="BZ467" s="619" t="b">
        <f>CNTR_CalcRelevant=EUconst_NotRelevant</f>
        <v>0</v>
      </c>
    </row>
    <row r="468" spans="1:78" s="142" customFormat="1" ht="15" hidden="1" customHeight="1" thickBot="1">
      <c r="A468" s="808"/>
      <c r="B468" s="166"/>
      <c r="C468" s="166"/>
      <c r="D468" s="166"/>
      <c r="E468" s="1547" t="str">
        <f>IF(ISBLANK(E467),"",IF(INDEX(B_InstallationDescription!$E$71:$E$145,MATCH(U466,B_InstallationDescription!$D$71:$D$145,0))&gt;0,INDEX(B_InstallationDescription!$E$71:$E$145,MATCH(U466,B_InstallationDescription!$D$71:$D$145,0)),""))</f>
        <v/>
      </c>
      <c r="F468" s="1548"/>
      <c r="G468" s="1548"/>
      <c r="H468" s="1548"/>
      <c r="I468" s="1548"/>
      <c r="J468" s="1549"/>
      <c r="M468" s="346" t="str">
        <f>Translations!$B$666</f>
        <v>CO2, biomasės kilmės.:</v>
      </c>
      <c r="N468" s="1051" t="str">
        <f>IF(OR(K467="",T468=TRUE),"",INDEX(BC480:BE480,MATCH(K467,BC477:BE477,0)))</f>
        <v/>
      </c>
      <c r="O468" s="742" t="s">
        <v>260</v>
      </c>
      <c r="P468" s="494"/>
      <c r="Q468" s="352" t="str">
        <f>EUconst_SumBioCO2 &amp; "_" &amp; K467</f>
        <v>SUM_bioCO2_</v>
      </c>
      <c r="R468" s="494"/>
      <c r="S468" s="23"/>
      <c r="T468" s="48" t="str">
        <f>IF(E468="","",MATCH(E468,EUConst_TierActivityListNames,0)&gt;40)</f>
        <v/>
      </c>
      <c r="U468" s="23"/>
      <c r="V468" s="78"/>
      <c r="W468" s="56"/>
      <c r="X468" s="58"/>
      <c r="Y468" s="27" t="s">
        <v>93</v>
      </c>
      <c r="Z468" s="30"/>
      <c r="AA468" s="30"/>
      <c r="AB468" s="30"/>
      <c r="AC468" s="30"/>
      <c r="AD468" s="30"/>
      <c r="AE468" s="27" t="s">
        <v>302</v>
      </c>
      <c r="AF468" s="58"/>
      <c r="AG468" s="504"/>
      <c r="AH468" s="30"/>
      <c r="AI468" s="30"/>
      <c r="AJ468" s="504"/>
      <c r="AK468" s="504"/>
      <c r="AL468" s="342"/>
      <c r="AM468" s="27" t="s">
        <v>308</v>
      </c>
      <c r="AN468" s="505"/>
      <c r="AO468" s="505"/>
      <c r="AP468" s="30"/>
      <c r="AQ468" s="30"/>
      <c r="AR468" s="30"/>
      <c r="AS468" s="30"/>
      <c r="AT468" s="30"/>
      <c r="AU468" s="30"/>
      <c r="AV468" s="27" t="s">
        <v>315</v>
      </c>
      <c r="AW468" s="30"/>
      <c r="AX468" s="492"/>
      <c r="AY468" s="30"/>
      <c r="AZ468" s="30"/>
      <c r="BA468" s="30"/>
      <c r="BB468" s="27" t="s">
        <v>219</v>
      </c>
      <c r="BC468" s="30"/>
      <c r="BD468" s="30"/>
      <c r="BE468" s="30"/>
      <c r="BF468" s="30"/>
      <c r="BG468" s="27"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0"/>
      <c r="BZ468" s="30"/>
    </row>
    <row r="469" spans="1:78" s="142" customFormat="1" ht="5.0999999999999996" hidden="1" customHeight="1">
      <c r="A469" s="808"/>
      <c r="B469" s="166"/>
      <c r="C469" s="166"/>
      <c r="D469" s="166"/>
      <c r="E469" s="166"/>
      <c r="F469" s="166"/>
      <c r="G469" s="166"/>
      <c r="M469" s="143"/>
      <c r="N469" s="143"/>
      <c r="O469" s="733"/>
      <c r="P469" s="33"/>
      <c r="Q469" s="33"/>
      <c r="R469" s="33"/>
      <c r="S469" s="23"/>
      <c r="T469" s="23"/>
      <c r="U469" s="23"/>
      <c r="V469" s="78"/>
      <c r="W469" s="30"/>
      <c r="X469" s="30"/>
      <c r="Y469" s="494"/>
      <c r="Z469" s="30"/>
      <c r="AA469" s="30"/>
      <c r="AB469" s="30"/>
      <c r="AC469" s="30"/>
      <c r="AD469" s="30"/>
      <c r="AE469" s="30"/>
      <c r="AF469" s="58"/>
      <c r="AG469" s="30"/>
      <c r="AH469" s="30"/>
      <c r="AI469" s="30"/>
      <c r="AJ469" s="504"/>
      <c r="AK469" s="504"/>
      <c r="AL469" s="342"/>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hidden="1" customHeight="1" thickBot="1">
      <c r="A470" s="808"/>
      <c r="B470" s="166"/>
      <c r="C470" s="166"/>
      <c r="D470" s="166"/>
      <c r="E470" s="1550" t="str">
        <f>IF(E467="","",IF(T468=TRUE,HYPERLINK("#JUMP_14",EUconst_MsgGoOnPFC),HYPERLINK("#JUMP_E_8",EUconst_FurtherGuidancePoint1)))</f>
        <v/>
      </c>
      <c r="F470" s="1550"/>
      <c r="G470" s="1550"/>
      <c r="H470" s="1550"/>
      <c r="I470" s="1550"/>
      <c r="J470" s="1550"/>
      <c r="K470" s="1550"/>
      <c r="L470" s="1550"/>
      <c r="M470" s="1550"/>
      <c r="N470" s="143"/>
      <c r="O470" s="733"/>
      <c r="P470" s="33"/>
      <c r="Q470" s="352" t="str">
        <f>EUconst_SumNonSustBioCO2 &amp; "_" &amp; K467</f>
        <v>SUM_bioNonSustCO2_</v>
      </c>
      <c r="R470" s="707"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4"/>
      <c r="AK470" s="504"/>
      <c r="AL470" s="342"/>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hidden="1" customHeight="1">
      <c r="A471" s="808"/>
      <c r="B471" s="166"/>
      <c r="C471" s="166"/>
      <c r="D471" s="166"/>
      <c r="E471" s="166"/>
      <c r="F471" s="166"/>
      <c r="G471" s="166"/>
      <c r="M471" s="143"/>
      <c r="N471" s="143"/>
      <c r="O471" s="733"/>
      <c r="P471" s="23"/>
      <c r="Q471" s="23"/>
      <c r="R471" s="23"/>
      <c r="S471" s="23"/>
      <c r="T471" s="23"/>
      <c r="U471" s="23"/>
      <c r="V471" s="30"/>
      <c r="W471" s="30"/>
      <c r="X471" s="30"/>
      <c r="Y471" s="494"/>
      <c r="Z471" s="30"/>
      <c r="AA471" s="30"/>
      <c r="AB471" s="30"/>
      <c r="AC471" s="30"/>
      <c r="AD471" s="30"/>
      <c r="AE471" s="30"/>
      <c r="AF471" s="58"/>
      <c r="AG471" s="30"/>
      <c r="AH471" s="30"/>
      <c r="AI471" s="30"/>
      <c r="AJ471" s="504"/>
      <c r="AK471" s="504"/>
      <c r="AL471" s="342"/>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hidden="1" customHeight="1" thickBot="1">
      <c r="A472" s="808"/>
      <c r="B472" s="166"/>
      <c r="C472" s="814" t="s">
        <v>4</v>
      </c>
      <c r="D472" s="512" t="str">
        <f>Translations!$B$622</f>
        <v>VD:</v>
      </c>
      <c r="E472" s="1560" t="str">
        <f>Translations!$B$667</f>
        <v>Ar veiklos duomenys gaunami sudedant išmatuotus kiekius (t. y. ne atliekant nuolatinius matavimus)?</v>
      </c>
      <c r="F472" s="1560"/>
      <c r="G472" s="1560"/>
      <c r="H472" s="1560"/>
      <c r="I472" s="1560"/>
      <c r="J472" s="1560"/>
      <c r="K472" s="1560"/>
      <c r="L472" s="1179"/>
      <c r="M472" s="507"/>
      <c r="O472" s="733"/>
      <c r="P472" s="23"/>
      <c r="Q472" s="23"/>
      <c r="R472" s="23"/>
      <c r="S472" s="23"/>
      <c r="T472" s="23"/>
      <c r="U472" s="23"/>
      <c r="V472" s="30"/>
      <c r="W472" s="30"/>
      <c r="X472" s="30"/>
      <c r="Y472" s="494"/>
      <c r="Z472" s="30"/>
      <c r="AA472" s="30"/>
      <c r="AB472" s="30"/>
      <c r="AC472" s="1172" t="b">
        <f>AND(E467&lt;&gt;"",T468&lt;&gt;TRUE)</f>
        <v>0</v>
      </c>
      <c r="AD472" s="30"/>
      <c r="AE472" s="30"/>
      <c r="AF472" s="58"/>
      <c r="AG472" s="30"/>
      <c r="AH472" s="30"/>
      <c r="AI472" s="30"/>
      <c r="AJ472" s="504"/>
      <c r="AK472" s="504"/>
      <c r="AL472" s="342"/>
      <c r="AM472" s="30"/>
      <c r="AN472" s="30"/>
      <c r="AO472" s="30"/>
      <c r="AP472" s="30"/>
      <c r="AQ472" s="30"/>
      <c r="AR472" s="30"/>
      <c r="AS472" s="30"/>
      <c r="AT472" s="1172"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2" t="b">
        <f>OR(CNTR_CalcRelevant=EUconst_NotRelevant,AND(COUNTA(CNTR_ListRelevantSections)&gt;0,OR(T468=TRUE,E467="")))</f>
        <v>1</v>
      </c>
    </row>
    <row r="473" spans="1:78" s="142" customFormat="1" ht="4.5" hidden="1" customHeight="1">
      <c r="A473" s="808"/>
      <c r="B473" s="166"/>
      <c r="C473" s="166"/>
      <c r="D473" s="166"/>
      <c r="E473" s="166"/>
      <c r="F473" s="166"/>
      <c r="G473" s="166"/>
      <c r="H473" s="495"/>
      <c r="I473" s="495"/>
      <c r="J473" s="495"/>
      <c r="K473" s="495"/>
      <c r="L473" s="495"/>
      <c r="M473" s="507"/>
      <c r="O473" s="733"/>
      <c r="P473" s="23"/>
      <c r="Q473" s="23"/>
      <c r="R473" s="23"/>
      <c r="S473" s="23"/>
      <c r="T473" s="23"/>
      <c r="U473" s="23"/>
      <c r="V473" s="30"/>
      <c r="W473" s="30"/>
      <c r="X473" s="30"/>
      <c r="Y473" s="494"/>
      <c r="Z473" s="30"/>
      <c r="AA473" s="30"/>
      <c r="AB473" s="30"/>
      <c r="AC473" s="492"/>
      <c r="AD473" s="30"/>
      <c r="AE473" s="30"/>
      <c r="AF473" s="58"/>
      <c r="AG473" s="30"/>
      <c r="AH473" s="30"/>
      <c r="AI473" s="30"/>
      <c r="AJ473" s="504"/>
      <c r="AK473" s="504"/>
      <c r="AL473" s="342"/>
      <c r="AM473" s="30"/>
      <c r="AN473" s="30"/>
      <c r="AO473" s="30"/>
      <c r="AP473" s="30"/>
      <c r="AQ473" s="30"/>
      <c r="AR473" s="30"/>
      <c r="AS473" s="30"/>
      <c r="AT473" s="492"/>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2"/>
    </row>
    <row r="474" spans="1:78" s="142" customFormat="1" ht="12.75" hidden="1" customHeight="1" thickBot="1">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3"/>
      <c r="Q474" s="23"/>
      <c r="R474" s="23"/>
      <c r="S474" s="23"/>
      <c r="T474" s="23"/>
      <c r="U474" s="23"/>
      <c r="V474" s="30"/>
      <c r="W474" s="30"/>
      <c r="X474" s="30"/>
      <c r="Y474" s="494"/>
      <c r="Z474" s="30"/>
      <c r="AA474" s="30"/>
      <c r="AB474" s="30"/>
      <c r="AC474" s="1172" t="b">
        <f>AC472</f>
        <v>0</v>
      </c>
      <c r="AD474" s="30"/>
      <c r="AE474" s="30"/>
      <c r="AF474" s="58"/>
      <c r="AG474" s="30"/>
      <c r="AH474" s="30"/>
      <c r="AI474" s="30"/>
      <c r="AJ474" s="504"/>
      <c r="AK474" s="504"/>
      <c r="AL474" s="342"/>
      <c r="AM474" s="30"/>
      <c r="AN474" s="30"/>
      <c r="AO474" s="30"/>
      <c r="AP474" s="30"/>
      <c r="AQ474" s="30"/>
      <c r="AR474" s="30"/>
      <c r="AS474" s="30"/>
      <c r="AT474" s="1172"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2" t="b">
        <f>OR(BZ472,AND(NOT(ISBLANK(L472)),L472=FALSE))</f>
        <v>1</v>
      </c>
    </row>
    <row r="475" spans="1:78" s="142" customFormat="1" ht="5.0999999999999996" hidden="1" customHeight="1">
      <c r="A475" s="808"/>
      <c r="B475" s="166"/>
      <c r="C475" s="166"/>
      <c r="D475" s="166"/>
      <c r="E475" s="166"/>
      <c r="F475" s="166"/>
      <c r="G475" s="166"/>
      <c r="M475" s="143"/>
      <c r="N475" s="143"/>
      <c r="O475" s="733"/>
      <c r="P475" s="23"/>
      <c r="Q475" s="23"/>
      <c r="R475" s="23"/>
      <c r="S475" s="23"/>
      <c r="T475" s="23"/>
      <c r="U475" s="23"/>
      <c r="V475" s="30"/>
      <c r="W475" s="30"/>
      <c r="X475" s="30"/>
      <c r="Y475" s="494"/>
      <c r="Z475" s="30"/>
      <c r="AA475" s="30"/>
      <c r="AB475" s="30"/>
      <c r="AC475" s="30"/>
      <c r="AD475" s="30"/>
      <c r="AE475" s="30"/>
      <c r="AF475" s="58"/>
      <c r="AG475" s="30"/>
      <c r="AH475" s="30"/>
      <c r="AI475" s="30"/>
      <c r="AJ475" s="504"/>
      <c r="AK475" s="504"/>
      <c r="AL475" s="342"/>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hidden="1" customHeight="1" thickBot="1">
      <c r="A476" s="808"/>
      <c r="B476" s="166"/>
      <c r="C476" s="166"/>
      <c r="D476" s="166"/>
      <c r="E476" s="166"/>
      <c r="F476" s="506" t="str">
        <f>Translations!$B$333</f>
        <v>Pakopa</v>
      </c>
      <c r="G476" s="1557" t="str">
        <f>Translations!$B$672</f>
        <v>pakopos aprašas</v>
      </c>
      <c r="H476" s="1557"/>
      <c r="I476" s="1555" t="str">
        <f>Translations!$B$158</f>
        <v>Vienetas</v>
      </c>
      <c r="J476" s="1555"/>
      <c r="K476" s="1555" t="str">
        <f>Translations!$B$673</f>
        <v>Vertė</v>
      </c>
      <c r="L476" s="1555"/>
      <c r="M476" s="507" t="str">
        <f>Translations!$B$610</f>
        <v>klaida</v>
      </c>
      <c r="O476" s="733"/>
      <c r="P476" s="508"/>
      <c r="Q476" s="352" t="str">
        <f>EUconst_SumEnergyIN &amp; "_" &amp; K467</f>
        <v>SUM_EnergyIN_</v>
      </c>
      <c r="R476" s="399" t="str">
        <f>IF(OR(K467="",T468)=TRUE,"",INDEX(BC482:BE482,MATCH(K467,BC477:BE477,0)))</f>
        <v/>
      </c>
      <c r="S476" s="30"/>
      <c r="T476" s="489"/>
      <c r="U476" s="30"/>
      <c r="V476" s="509" t="s">
        <v>303</v>
      </c>
      <c r="W476" s="30"/>
      <c r="X476" s="30"/>
      <c r="Y476" s="494" t="s">
        <v>566</v>
      </c>
      <c r="Z476" s="494" t="s">
        <v>318</v>
      </c>
      <c r="AA476" s="30"/>
      <c r="AB476" s="30"/>
      <c r="AC476" s="505" t="s">
        <v>309</v>
      </c>
      <c r="AD476" s="30"/>
      <c r="AE476" s="30"/>
      <c r="AF476" s="492" t="s">
        <v>305</v>
      </c>
      <c r="AG476" s="492" t="s">
        <v>306</v>
      </c>
      <c r="AH476" s="494" t="s">
        <v>304</v>
      </c>
      <c r="AI476" s="504" t="s">
        <v>307</v>
      </c>
      <c r="AJ476" s="504" t="s">
        <v>567</v>
      </c>
      <c r="AK476" s="510" t="s">
        <v>311</v>
      </c>
      <c r="AL476" s="342"/>
      <c r="AM476" s="30"/>
      <c r="AN476" s="492" t="s">
        <v>305</v>
      </c>
      <c r="AO476" s="492" t="s">
        <v>306</v>
      </c>
      <c r="AP476" s="511" t="s">
        <v>310</v>
      </c>
      <c r="AQ476" s="504" t="s">
        <v>569</v>
      </c>
      <c r="AR476" s="504" t="s">
        <v>568</v>
      </c>
      <c r="AS476" s="510" t="s">
        <v>311</v>
      </c>
      <c r="AT476" s="510" t="s">
        <v>311</v>
      </c>
      <c r="AU476" s="30"/>
      <c r="AV476" s="492"/>
      <c r="AW476" s="492"/>
      <c r="AX476" s="492" t="s">
        <v>321</v>
      </c>
      <c r="AY476" s="492"/>
      <c r="AZ476" s="492"/>
      <c r="BA476" s="492"/>
      <c r="BB476" s="492"/>
      <c r="BC476" s="492"/>
      <c r="BD476" s="492"/>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3" t="s">
        <v>262</v>
      </c>
    </row>
    <row r="477" spans="1:78" s="142" customFormat="1" ht="12.75" hidden="1" customHeight="1" thickBot="1">
      <c r="A477" s="808"/>
      <c r="B477" s="166"/>
      <c r="C477" s="777" t="s">
        <v>196</v>
      </c>
      <c r="D477" s="512" t="str">
        <f>Translations!$B$622</f>
        <v>VD:</v>
      </c>
      <c r="E477" s="513"/>
      <c r="F477" s="402"/>
      <c r="G477" s="1532" t="str">
        <f>IF(OR(ISBLANK(F477),F477=EUconst_NoTier),"",IF(Z477=0,EUconst_NA,IF(ISERROR(Z477),"",Z477)))</f>
        <v/>
      </c>
      <c r="H477" s="1533"/>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0"/>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0"/>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0"/>
      <c r="AV477" s="492" t="s">
        <v>314</v>
      </c>
      <c r="AW477" s="492" t="s">
        <v>319</v>
      </c>
      <c r="AX477" s="524"/>
      <c r="AY477" s="30" t="s">
        <v>542</v>
      </c>
      <c r="AZ477" s="30"/>
      <c r="BA477" s="30"/>
      <c r="BB477" s="504"/>
      <c r="BC477" s="493" t="str">
        <f>EUconst_Fuel</f>
        <v>Degimas</v>
      </c>
      <c r="BD477" s="493" t="str">
        <f>EUconst_ProcessCarbonate</f>
        <v>Proceso metu išsiskiriančios ŠESD</v>
      </c>
      <c r="BE477" s="493"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4" t="b">
        <f>BZ472</f>
        <v>1</v>
      </c>
    </row>
    <row r="478" spans="1:78" s="142" customFormat="1" ht="5.0999999999999996" hidden="1" customHeight="1">
      <c r="A478" s="808"/>
      <c r="B478" s="166"/>
      <c r="C478" s="814"/>
      <c r="D478" s="306"/>
      <c r="F478" s="143"/>
      <c r="G478" s="143"/>
      <c r="H478" s="143" t="s">
        <v>236</v>
      </c>
      <c r="I478" s="525"/>
      <c r="J478" s="525"/>
      <c r="K478" s="143"/>
      <c r="L478" s="143"/>
      <c r="M478" s="710"/>
      <c r="O478" s="733"/>
      <c r="P478" s="33"/>
      <c r="Q478" s="33"/>
      <c r="R478" s="33"/>
      <c r="S478" s="30"/>
      <c r="T478" s="155"/>
      <c r="U478" s="497"/>
      <c r="V478" s="30"/>
      <c r="W478" s="30"/>
      <c r="X478" s="497"/>
      <c r="Y478" s="526"/>
      <c r="Z478" s="30"/>
      <c r="AA478" s="30"/>
      <c r="AB478" s="30"/>
      <c r="AC478" s="30"/>
      <c r="AD478" s="30"/>
      <c r="AE478" s="30"/>
      <c r="AF478" s="30"/>
      <c r="AG478" s="30"/>
      <c r="AH478" s="30"/>
      <c r="AI478" s="30"/>
      <c r="AJ478" s="30"/>
      <c r="AK478" s="30"/>
      <c r="AL478" s="342"/>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3"/>
    </row>
    <row r="479" spans="1:78" s="142" customFormat="1" ht="12.75" hidden="1" customHeight="1" thickBot="1">
      <c r="A479" s="808"/>
      <c r="B479" s="166"/>
      <c r="C479" s="814" t="s">
        <v>197</v>
      </c>
      <c r="D479" s="512" t="str">
        <f>Translations!$B$634</f>
        <v>(prelim.) ITF:</v>
      </c>
      <c r="E479" s="513"/>
      <c r="F479" s="527"/>
      <c r="G479" s="1532" t="str">
        <f t="shared" ref="G479:G485" si="105">IF(OR(ISBLANK(F479),F479=EUconst_NoTier),"",IF(Z479=0,EUconst_NotApplicable,IF(ISERROR(Z479),"",Z479)))</f>
        <v/>
      </c>
      <c r="H479" s="1556"/>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3"/>
      <c r="Q479" s="33"/>
      <c r="R479" s="33"/>
      <c r="S479" s="30"/>
      <c r="T479" s="530" t="str">
        <f>EUconst_CNTR_EF&amp;E468</f>
        <v>EF_</v>
      </c>
      <c r="U479" s="497"/>
      <c r="V479" s="531" t="str">
        <f>V477</f>
        <v/>
      </c>
      <c r="W479" s="30"/>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0"/>
      <c r="AC479" s="535" t="b">
        <f>AND(AC477,Y479&lt;&gt;EUconst_NA)</f>
        <v>0</v>
      </c>
      <c r="AD479" s="30"/>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0"/>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0"/>
      <c r="BA479" s="30"/>
      <c r="BB479" s="547" t="s">
        <v>594</v>
      </c>
      <c r="BC479" s="546" t="str">
        <f>IF(K467=BC477,AR477*IF(AJ479=EUconst_tCO2pTJ,(AR480/1000),1)*AR479*AR481*AR485,"")</f>
        <v/>
      </c>
      <c r="BD479" s="524" t="str">
        <f>IF(K467=BD477,AR477*AR479*AR482*AR485,"")</f>
        <v/>
      </c>
      <c r="BE479" s="523"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1" t="b">
        <f>OR(BZ477,Y479=EUconst_NA)</f>
        <v>1</v>
      </c>
    </row>
    <row r="480" spans="1:78" s="142" customFormat="1" ht="12.75" hidden="1" customHeight="1" thickBot="1">
      <c r="A480" s="808"/>
      <c r="B480" s="166"/>
      <c r="C480" s="814" t="s">
        <v>198</v>
      </c>
      <c r="D480" s="512" t="str">
        <f>Translations!$B$636</f>
        <v>GŠV:</v>
      </c>
      <c r="E480" s="513"/>
      <c r="F480" s="548"/>
      <c r="G480" s="1532" t="str">
        <f t="shared" si="105"/>
        <v/>
      </c>
      <c r="H480" s="1533"/>
      <c r="I480" s="1169" t="str">
        <f>AJ480</f>
        <v/>
      </c>
      <c r="J480" s="549"/>
      <c r="K480" s="550" t="str">
        <f t="shared" si="106"/>
        <v/>
      </c>
      <c r="L480" s="551"/>
      <c r="M480" s="709" t="str">
        <f>IF(AND(E468&lt;&gt;"",OR(F480="",COUNT(K480:L480)=0),Y480&lt;&gt;EUconst_NA,T468&lt;&gt;TRUE),EUconst_ERR_Incomplete,IF(COUNTIF(AX480:AZ480,TRUE)&gt;0,EUconst_ERR_Inconsistent,""))</f>
        <v/>
      </c>
      <c r="O480" s="733"/>
      <c r="P480" s="33"/>
      <c r="Q480" s="33"/>
      <c r="R480" s="33"/>
      <c r="S480" s="30"/>
      <c r="T480" s="552" t="str">
        <f>EUconst_CNTR_NCV&amp;E468</f>
        <v>NCV_</v>
      </c>
      <c r="U480" s="497"/>
      <c r="V480" s="553" t="str">
        <f t="shared" ref="V480:V485" si="111">V479</f>
        <v/>
      </c>
      <c r="W480" s="30"/>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0"/>
      <c r="AC480" s="557" t="b">
        <f>AND(AC477,Y480&lt;&gt;EUconst_NA)</f>
        <v>0</v>
      </c>
      <c r="AD480" s="30"/>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0"/>
      <c r="AV480" s="567" t="b">
        <f t="shared" si="108"/>
        <v>0</v>
      </c>
      <c r="AW480" s="568" t="b">
        <f t="shared" si="109"/>
        <v>0</v>
      </c>
      <c r="AX480" s="30"/>
      <c r="AY480" s="553" t="b">
        <f t="shared" si="110"/>
        <v>0</v>
      </c>
      <c r="AZ480" s="30"/>
      <c r="BA480" s="30"/>
      <c r="BB480" s="547" t="s">
        <v>595</v>
      </c>
      <c r="BC480" s="546" t="str">
        <f>IF(K467=BC477,AR477*IF(AJ479=EUconst_tCO2pTJ,(AR480/1000),1)*AR479*AR481*AR484,"")</f>
        <v/>
      </c>
      <c r="BD480" s="524" t="str">
        <f>IF(K467=BD477,AR477*AR479*AR482*AR484,"")</f>
        <v/>
      </c>
      <c r="BE480" s="523"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3" t="b">
        <f>OR(BZ477,Y480=EUconst_NA)</f>
        <v>1</v>
      </c>
    </row>
    <row r="481" spans="1:78" s="142" customFormat="1" ht="12.75" hidden="1" customHeight="1" thickBot="1">
      <c r="A481" s="808"/>
      <c r="B481" s="166"/>
      <c r="C481" s="814" t="s">
        <v>199</v>
      </c>
      <c r="D481" s="512" t="str">
        <f>Translations!$B$638</f>
        <v>OksK:</v>
      </c>
      <c r="E481" s="513"/>
      <c r="F481" s="548"/>
      <c r="G481" s="1532" t="str">
        <f t="shared" si="105"/>
        <v/>
      </c>
      <c r="H481" s="1533"/>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3"/>
      <c r="Q481" s="33"/>
      <c r="R481" s="33"/>
      <c r="S481" s="30"/>
      <c r="T481" s="552" t="str">
        <f>EUconst_CNTR_OxidationFactor&amp;E468</f>
        <v>OxF_</v>
      </c>
      <c r="U481" s="497"/>
      <c r="V481" s="553" t="str">
        <f t="shared" si="111"/>
        <v/>
      </c>
      <c r="W481" s="30"/>
      <c r="X481" s="497"/>
      <c r="Y481" s="554" t="str">
        <f>IF(OR(T468=TRUE,E468=""),"",INDEX(EUwideConstants!$N:$N,MATCH(T481,EUwideConstants!$Q:$Q,0)))</f>
        <v/>
      </c>
      <c r="Z481" s="555" t="str">
        <f>IF(ISBLANK(F481),"",IF(F481=EUconst_NA,"",INDEX(EUwideConstants!$H:$M,MATCH(T481,EUwideConstants!$Q:$Q,0),MATCH(F481,CNTR_TierList,0))))</f>
        <v/>
      </c>
      <c r="AA481" s="534" t="str">
        <f>IF(F481=1,1,"")</f>
        <v/>
      </c>
      <c r="AB481" s="30"/>
      <c r="AC481" s="557" t="b">
        <f>AND(AC477,Y481&lt;&gt;EUconst_NA)</f>
        <v>0</v>
      </c>
      <c r="AD481" s="30"/>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0"/>
      <c r="AV481" s="567" t="b">
        <f t="shared" si="108"/>
        <v>0</v>
      </c>
      <c r="AW481" s="568" t="b">
        <f t="shared" si="109"/>
        <v>0</v>
      </c>
      <c r="AX481" s="30"/>
      <c r="AY481" s="594" t="b">
        <f t="shared" si="110"/>
        <v>0</v>
      </c>
      <c r="AZ481" s="531" t="b">
        <f>AR481&gt;100%</f>
        <v>0</v>
      </c>
      <c r="BA481" s="30"/>
      <c r="BB481" s="547" t="s">
        <v>290</v>
      </c>
      <c r="BC481" s="546" t="str">
        <f>IF(K467=BC477,AR477*IF(AJ479=EUconst_tCO2pTJ,(AR480/1000),1)*AR479*AR481*(1-AR484),"")</f>
        <v/>
      </c>
      <c r="BD481" s="524" t="str">
        <f>IF(K467=BD477,AR477*AR479*AR482*(1-AR484),"")</f>
        <v/>
      </c>
      <c r="BE481" s="523"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3" t="b">
        <f>OR(BZ477,Y481=EUconst_NA)</f>
        <v>1</v>
      </c>
    </row>
    <row r="482" spans="1:78" s="142" customFormat="1" ht="12.75" hidden="1" customHeight="1" thickBot="1">
      <c r="A482" s="808"/>
      <c r="B482" s="166"/>
      <c r="C482" s="814" t="s">
        <v>200</v>
      </c>
      <c r="D482" s="512" t="str">
        <f>Translations!$B$639</f>
        <v>KonvK:</v>
      </c>
      <c r="E482" s="513"/>
      <c r="F482" s="548"/>
      <c r="G482" s="1532" t="str">
        <f t="shared" si="105"/>
        <v/>
      </c>
      <c r="H482" s="1533"/>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3"/>
      <c r="Q482" s="33"/>
      <c r="R482" s="33"/>
      <c r="S482" s="30"/>
      <c r="T482" s="552" t="str">
        <f>EUconst_CNTR_ConversionFactor&amp;E468</f>
        <v>ConvF_</v>
      </c>
      <c r="U482" s="497"/>
      <c r="V482" s="553" t="str">
        <f t="shared" si="111"/>
        <v/>
      </c>
      <c r="W482" s="30"/>
      <c r="X482" s="497"/>
      <c r="Y482" s="554" t="str">
        <f>IF(OR(T468=TRUE,E468=""),"",INDEX(EUwideConstants!$N:$N,MATCH(T482,EUwideConstants!$Q:$Q,0)))</f>
        <v/>
      </c>
      <c r="Z482" s="555" t="str">
        <f>IF(ISBLANK(F482),"",IF(F482=EUconst_NA,"",INDEX(EUwideConstants!$H:$M,MATCH(T482,EUwideConstants!$Q:$Q,0),MATCH(F482,CNTR_TierList,0))))</f>
        <v/>
      </c>
      <c r="AA482" s="582" t="str">
        <f>IF(F482=1,1,"")</f>
        <v/>
      </c>
      <c r="AB482" s="30"/>
      <c r="AC482" s="557" t="b">
        <f>AND(AC477,Y482&lt;&gt;EUconst_NA)</f>
        <v>0</v>
      </c>
      <c r="AD482" s="30"/>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0"/>
      <c r="AV482" s="567" t="b">
        <f t="shared" si="108"/>
        <v>0</v>
      </c>
      <c r="AW482" s="568" t="b">
        <f t="shared" si="109"/>
        <v>0</v>
      </c>
      <c r="AX482" s="30"/>
      <c r="AY482" s="594" t="b">
        <f t="shared" si="110"/>
        <v>0</v>
      </c>
      <c r="AZ482" s="580" t="b">
        <f>AR482&gt;100%</f>
        <v>0</v>
      </c>
      <c r="BA482" s="30"/>
      <c r="BB482" s="578" t="s">
        <v>487</v>
      </c>
      <c r="BC482" s="579">
        <f>AR477*AR480/1000*(1-AR484)</f>
        <v>0</v>
      </c>
      <c r="BD482" s="580">
        <f>BC482</f>
        <v>0</v>
      </c>
      <c r="BE482" s="581">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3" t="b">
        <f>OR(BZ477,Y482=EUconst_NA)</f>
        <v>1</v>
      </c>
    </row>
    <row r="483" spans="1:78" s="142" customFormat="1" ht="12.75" hidden="1" customHeight="1" thickBot="1">
      <c r="A483" s="808"/>
      <c r="B483" s="166"/>
      <c r="C483" s="814" t="s">
        <v>329</v>
      </c>
      <c r="D483" s="512" t="str">
        <f>Translations!$B$640</f>
        <v>AnglK:</v>
      </c>
      <c r="E483" s="513"/>
      <c r="F483" s="548"/>
      <c r="G483" s="1532" t="str">
        <f t="shared" si="105"/>
        <v/>
      </c>
      <c r="H483" s="1533"/>
      <c r="I483" s="1170" t="str">
        <f>AJ483</f>
        <v/>
      </c>
      <c r="J483" s="586"/>
      <c r="K483" s="587" t="str">
        <f t="shared" si="106"/>
        <v/>
      </c>
      <c r="L483" s="588"/>
      <c r="M483" s="709" t="str">
        <f>IF(AND(E468&lt;&gt;"",OR(F483="",COUNT(K483:L483)=0),Y483&lt;&gt;EUconst_NA,T468&lt;&gt;TRUE),EUconst_ERR_Incomplete,IF(COUNTIF(AX483:AZ483,TRUE)&gt;0,EUconst_ERR_Inconsistent,""))</f>
        <v/>
      </c>
      <c r="O483" s="733"/>
      <c r="P483" s="33"/>
      <c r="Q483" s="33"/>
      <c r="R483" s="33"/>
      <c r="S483" s="30"/>
      <c r="T483" s="552" t="str">
        <f>EUconst_CNTR_CarbonContent&amp;E468</f>
        <v>CarbC_</v>
      </c>
      <c r="U483" s="497"/>
      <c r="V483" s="553" t="str">
        <f t="shared" si="111"/>
        <v/>
      </c>
      <c r="W483" s="30"/>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0"/>
      <c r="AC483" s="557" t="b">
        <f>AND(AC477,Y483&lt;&gt;EUconst_NA)</f>
        <v>0</v>
      </c>
      <c r="AD483" s="30"/>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0"/>
      <c r="AV483" s="567" t="b">
        <f t="shared" si="108"/>
        <v>0</v>
      </c>
      <c r="AW483" s="568" t="b">
        <f t="shared" si="109"/>
        <v>0</v>
      </c>
      <c r="AX483" s="546" t="b">
        <f>OR(AND(AJ477=EUconst_kNm3,AJ483=EUconst_tCpt),AND(AJ477=EUconst_t,AJ483=EUconst_tCpkNm3))</f>
        <v>0</v>
      </c>
      <c r="AY483" s="553" t="b">
        <f t="shared" si="110"/>
        <v>0</v>
      </c>
      <c r="AZ483" s="30"/>
      <c r="BA483" s="30"/>
      <c r="BB483" s="578" t="s">
        <v>488</v>
      </c>
      <c r="BC483" s="579">
        <f>AR477*AR480/1000*AR484</f>
        <v>0</v>
      </c>
      <c r="BD483" s="580">
        <f>BC483</f>
        <v>0</v>
      </c>
      <c r="BE483" s="581">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3" t="b">
        <f>OR(BZ477,Y483=EUconst_NA)</f>
        <v>1</v>
      </c>
    </row>
    <row r="484" spans="1:78" s="142" customFormat="1" ht="12.75" hidden="1" customHeight="1">
      <c r="A484" s="808"/>
      <c r="B484" s="166"/>
      <c r="C484" s="777" t="s">
        <v>330</v>
      </c>
      <c r="D484" s="512" t="str">
        <f>Translations!$B$641</f>
        <v>BioC:</v>
      </c>
      <c r="E484" s="513"/>
      <c r="F484" s="548"/>
      <c r="G484" s="1532" t="str">
        <f t="shared" si="105"/>
        <v/>
      </c>
      <c r="H484" s="1533"/>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0"/>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0"/>
      <c r="AC484" s="557" t="b">
        <f>AND(AC477,Y484&lt;&gt;EUconst_NA)</f>
        <v>0</v>
      </c>
      <c r="AD484" s="30"/>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0"/>
      <c r="AV484" s="567" t="b">
        <f t="shared" si="108"/>
        <v>0</v>
      </c>
      <c r="AW484" s="568" t="b">
        <f t="shared" si="109"/>
        <v>0</v>
      </c>
      <c r="AX484" s="30"/>
      <c r="AY484" s="594" t="b">
        <f t="shared" si="110"/>
        <v>0</v>
      </c>
      <c r="AZ484" s="531"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3" t="b">
        <f>OR(BZ477,Y484=EUconst_NA)</f>
        <v>1</v>
      </c>
    </row>
    <row r="485" spans="1:78" s="142" customFormat="1" ht="12.75" hidden="1" customHeight="1" thickBot="1">
      <c r="A485" s="808"/>
      <c r="B485" s="166"/>
      <c r="C485" s="777" t="s">
        <v>454</v>
      </c>
      <c r="D485" s="512" t="str">
        <f>Translations!$B$647</f>
        <v>Netvar. BioC:</v>
      </c>
      <c r="E485" s="513"/>
      <c r="F485" s="597"/>
      <c r="G485" s="1532" t="str">
        <f t="shared" si="105"/>
        <v/>
      </c>
      <c r="H485" s="1533"/>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0"/>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0"/>
      <c r="AC485" s="603" t="b">
        <f>AND(AC477,Y485&lt;&gt;EUconst_NA)</f>
        <v>0</v>
      </c>
      <c r="AD485" s="30"/>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0"/>
      <c r="AV485" s="613" t="b">
        <f t="shared" si="108"/>
        <v>0</v>
      </c>
      <c r="AW485" s="614" t="b">
        <f t="shared" si="109"/>
        <v>0</v>
      </c>
      <c r="AX485" s="30"/>
      <c r="AY485" s="579" t="b">
        <f t="shared" si="110"/>
        <v>0</v>
      </c>
      <c r="AZ485" s="580"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80" t="b">
        <f>OR(BZ477,Y485=EUconst_NA)</f>
        <v>1</v>
      </c>
    </row>
    <row r="486" spans="1:78" s="142" customFormat="1" ht="4.5" hidden="1" customHeight="1">
      <c r="A486" s="808"/>
      <c r="B486" s="166"/>
      <c r="C486" s="166"/>
      <c r="D486" s="180"/>
      <c r="O486" s="733"/>
      <c r="P486" s="33"/>
      <c r="Q486" s="33"/>
      <c r="R486" s="33"/>
      <c r="S486" s="174"/>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hidden="1" customHeight="1">
      <c r="A487" s="808"/>
      <c r="B487" s="166"/>
      <c r="C487" s="166"/>
      <c r="D487" s="1558" t="str">
        <f>Translations!$B$674</f>
        <v>Pakopos galioja nuo:</v>
      </c>
      <c r="E487" s="1558"/>
      <c r="F487" s="1559"/>
      <c r="G487" s="1052"/>
      <c r="H487" s="615" t="str">
        <f>Translations!$B$675</f>
        <v>iki:</v>
      </c>
      <c r="I487" s="1052"/>
      <c r="J487" s="1536" t="str">
        <f>Translations!$B$676</f>
        <v>Atliekų katalogo numeris (jeigu taikytina):</v>
      </c>
      <c r="K487" s="1537"/>
      <c r="L487" s="1537"/>
      <c r="M487" s="1538"/>
      <c r="N487" s="1289"/>
      <c r="O487" s="733"/>
      <c r="P487" s="33"/>
      <c r="Q487" s="33"/>
      <c r="R487" s="33"/>
      <c r="S487" s="1290"/>
      <c r="T487" s="492"/>
      <c r="U487" s="492"/>
      <c r="V487" s="48" t="b">
        <f>IF(V477="",FALSE,INDEX(CNTR_IsWaste,MATCH(V477,MSParameters!$A$218:$A$376,0)))</f>
        <v>0</v>
      </c>
      <c r="W487" s="1290"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4.5" hidden="1" customHeight="1">
      <c r="A488" s="808"/>
      <c r="B488" s="166"/>
      <c r="C488" s="166"/>
      <c r="D488" s="615"/>
      <c r="E488" s="495"/>
      <c r="F488" s="495"/>
      <c r="G488" s="495"/>
      <c r="H488" s="495"/>
      <c r="I488" s="495"/>
      <c r="J488" s="495"/>
      <c r="K488" s="495"/>
      <c r="L488" s="495"/>
      <c r="M488" s="495"/>
      <c r="N488" s="495"/>
      <c r="O488" s="733"/>
      <c r="P488" s="33"/>
      <c r="Q488" s="33"/>
      <c r="R488" s="33"/>
      <c r="S488" s="174"/>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hidden="1" customHeight="1">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3"/>
      <c r="Q489" s="33"/>
      <c r="R489" s="33"/>
      <c r="S489" s="174"/>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4.5" hidden="1" customHeight="1">
      <c r="A490" s="815"/>
      <c r="D490" s="180"/>
      <c r="O490" s="573"/>
      <c r="P490" s="497"/>
      <c r="Q490" s="497"/>
      <c r="R490" s="497"/>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ht="6.75" hidden="1" customHeight="1">
      <c r="A491" s="815"/>
      <c r="D491" s="1534" t="str">
        <f>Translations!$B$160</f>
        <v>Pastabos:</v>
      </c>
      <c r="E491" s="1535"/>
      <c r="F491" s="1539"/>
      <c r="G491" s="1540"/>
      <c r="H491" s="1540"/>
      <c r="I491" s="1540"/>
      <c r="J491" s="1540"/>
      <c r="K491" s="1540"/>
      <c r="L491" s="1540"/>
      <c r="M491" s="1540"/>
      <c r="N491" s="1541"/>
      <c r="O491" s="573"/>
      <c r="P491" s="497"/>
      <c r="Q491" s="497"/>
      <c r="R491" s="497"/>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c r="A492" s="808"/>
      <c r="B492" s="495"/>
      <c r="C492" s="499"/>
      <c r="D492" s="500"/>
      <c r="E492" s="501"/>
      <c r="F492" s="499"/>
      <c r="G492" s="502"/>
      <c r="H492" s="502"/>
      <c r="I492" s="502"/>
      <c r="J492" s="502"/>
      <c r="K492" s="502"/>
      <c r="L492" s="502"/>
      <c r="M492" s="502"/>
      <c r="N492" s="502"/>
      <c r="O492" s="740"/>
      <c r="P492" s="494"/>
      <c r="Q492" s="494"/>
      <c r="R492" s="494"/>
      <c r="S492" s="58"/>
      <c r="T492" s="58"/>
      <c r="U492" s="498"/>
      <c r="V492" s="58"/>
      <c r="W492" s="58"/>
      <c r="X492" s="49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c r="A493" s="813"/>
      <c r="B493" s="495"/>
      <c r="C493" s="495"/>
      <c r="D493" s="180"/>
      <c r="E493" s="496"/>
      <c r="F493" s="495"/>
      <c r="G493" s="487"/>
      <c r="H493" s="487"/>
      <c r="I493" s="487"/>
      <c r="J493" s="487"/>
      <c r="K493" s="495"/>
      <c r="L493" s="487"/>
      <c r="M493" s="487"/>
      <c r="N493" s="487"/>
      <c r="O493" s="740"/>
      <c r="P493" s="494"/>
      <c r="Q493" s="494"/>
      <c r="R493" s="494"/>
      <c r="S493" s="23"/>
      <c r="T493" s="27" t="str">
        <f>IF(ISBLANK(E494),"",MATCH(E494,CNTR_SourceStreamNames,0))</f>
        <v/>
      </c>
      <c r="U493" s="618"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1"/>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3" t="s">
        <v>262</v>
      </c>
    </row>
    <row r="494" spans="1:78" s="142" customFormat="1" ht="15" hidden="1" customHeight="1" thickBot="1">
      <c r="A494" s="869" t="str">
        <f>IF(E494="","","PRINT")</f>
        <v/>
      </c>
      <c r="B494" s="166"/>
      <c r="C494" s="617">
        <f>C467+1</f>
        <v>17</v>
      </c>
      <c r="D494" s="166"/>
      <c r="E494" s="1542"/>
      <c r="F494" s="1543"/>
      <c r="G494" s="1543"/>
      <c r="H494" s="1543"/>
      <c r="I494" s="1543"/>
      <c r="J494" s="1544"/>
      <c r="K494" s="1545" t="str">
        <f>IF(E495="","",INDEX(EUwideConstants!$F$353:$F$394,MATCH(E495,EUConst_TierActivityListNames,0)))</f>
        <v/>
      </c>
      <c r="L494" s="1546"/>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3"/>
      <c r="T494" s="509" t="s">
        <v>393</v>
      </c>
      <c r="U494" s="23"/>
      <c r="V494" s="78"/>
      <c r="W494" s="56"/>
      <c r="X494" s="58"/>
      <c r="Y494" s="58"/>
      <c r="Z494" s="58"/>
      <c r="AA494" s="58"/>
      <c r="AB494" s="58"/>
      <c r="AC494" s="58"/>
      <c r="AD494" s="58"/>
      <c r="AE494" s="58"/>
      <c r="AF494" s="58"/>
      <c r="AG494" s="58"/>
      <c r="AH494" s="58"/>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6"/>
      <c r="BZ494" s="619" t="b">
        <f>CNTR_CalcRelevant=EUconst_NotRelevant</f>
        <v>0</v>
      </c>
    </row>
    <row r="495" spans="1:78" s="142" customFormat="1" ht="15" hidden="1" customHeight="1" thickBot="1">
      <c r="A495" s="808"/>
      <c r="B495" s="166"/>
      <c r="C495" s="166"/>
      <c r="D495" s="166"/>
      <c r="E495" s="1547" t="str">
        <f>IF(ISBLANK(E494),"",IF(INDEX(B_InstallationDescription!$E$71:$E$145,MATCH(U493,B_InstallationDescription!$D$71:$D$145,0))&gt;0,INDEX(B_InstallationDescription!$E$71:$E$145,MATCH(U493,B_InstallationDescription!$D$71:$D$145,0)),""))</f>
        <v/>
      </c>
      <c r="F495" s="1548"/>
      <c r="G495" s="1548"/>
      <c r="H495" s="1548"/>
      <c r="I495" s="1548"/>
      <c r="J495" s="1549"/>
      <c r="M495" s="346" t="str">
        <f>Translations!$B$666</f>
        <v>CO2, biomasės kilmės.:</v>
      </c>
      <c r="N495" s="1051" t="str">
        <f>IF(OR(K494="",T495=TRUE),"",INDEX(BC507:BE507,MATCH(K494,BC504:BE504,0)))</f>
        <v/>
      </c>
      <c r="O495" s="742" t="s">
        <v>260</v>
      </c>
      <c r="P495" s="494"/>
      <c r="Q495" s="352" t="str">
        <f>EUconst_SumBioCO2 &amp; "_" &amp; K494</f>
        <v>SUM_bioCO2_</v>
      </c>
      <c r="R495" s="494"/>
      <c r="S495" s="23"/>
      <c r="T495" s="48" t="str">
        <f>IF(E495="","",MATCH(E495,EUConst_TierActivityListNames,0)&gt;40)</f>
        <v/>
      </c>
      <c r="U495" s="23"/>
      <c r="V495" s="78"/>
      <c r="W495" s="56"/>
      <c r="X495" s="58"/>
      <c r="Y495" s="27" t="s">
        <v>93</v>
      </c>
      <c r="Z495" s="30"/>
      <c r="AA495" s="30"/>
      <c r="AB495" s="30"/>
      <c r="AC495" s="30"/>
      <c r="AD495" s="30"/>
      <c r="AE495" s="27" t="s">
        <v>302</v>
      </c>
      <c r="AF495" s="58"/>
      <c r="AG495" s="504"/>
      <c r="AH495" s="30"/>
      <c r="AI495" s="30"/>
      <c r="AJ495" s="504"/>
      <c r="AK495" s="504"/>
      <c r="AL495" s="342"/>
      <c r="AM495" s="27" t="s">
        <v>308</v>
      </c>
      <c r="AN495" s="505"/>
      <c r="AO495" s="505"/>
      <c r="AP495" s="30"/>
      <c r="AQ495" s="30"/>
      <c r="AR495" s="30"/>
      <c r="AS495" s="30"/>
      <c r="AT495" s="30"/>
      <c r="AU495" s="30"/>
      <c r="AV495" s="27" t="s">
        <v>315</v>
      </c>
      <c r="AW495" s="30"/>
      <c r="AX495" s="492"/>
      <c r="AY495" s="30"/>
      <c r="AZ495" s="30"/>
      <c r="BA495" s="30"/>
      <c r="BB495" s="27" t="s">
        <v>219</v>
      </c>
      <c r="BC495" s="30"/>
      <c r="BD495" s="30"/>
      <c r="BE495" s="30"/>
      <c r="BF495" s="30"/>
      <c r="BG495" s="27"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0"/>
      <c r="BZ495" s="30"/>
    </row>
    <row r="496" spans="1:78" s="142" customFormat="1" ht="5.0999999999999996" hidden="1" customHeight="1" thickBot="1">
      <c r="A496" s="808"/>
      <c r="B496" s="166"/>
      <c r="C496" s="166"/>
      <c r="D496" s="166"/>
      <c r="E496" s="166"/>
      <c r="F496" s="166"/>
      <c r="G496" s="166"/>
      <c r="M496" s="143"/>
      <c r="N496" s="143"/>
      <c r="O496" s="733"/>
      <c r="P496" s="33"/>
      <c r="Q496" s="33"/>
      <c r="R496" s="33"/>
      <c r="S496" s="23"/>
      <c r="T496" s="23"/>
      <c r="U496" s="23"/>
      <c r="V496" s="78"/>
      <c r="W496" s="30"/>
      <c r="X496" s="30"/>
      <c r="Y496" s="494"/>
      <c r="Z496" s="30"/>
      <c r="AA496" s="30"/>
      <c r="AB496" s="30"/>
      <c r="AC496" s="30"/>
      <c r="AD496" s="30"/>
      <c r="AE496" s="30"/>
      <c r="AF496" s="58"/>
      <c r="AG496" s="30"/>
      <c r="AH496" s="30"/>
      <c r="AI496" s="30"/>
      <c r="AJ496" s="504"/>
      <c r="AK496" s="504"/>
      <c r="AL496" s="342"/>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hidden="1" customHeight="1" thickBot="1">
      <c r="A497" s="808"/>
      <c r="B497" s="166"/>
      <c r="C497" s="166"/>
      <c r="D497" s="166"/>
      <c r="E497" s="1550" t="str">
        <f>IF(E494="","",IF(T495=TRUE,HYPERLINK("#JUMP_14",EUconst_MsgGoOnPFC),HYPERLINK("#JUMP_E_8",EUconst_FurtherGuidancePoint1)))</f>
        <v/>
      </c>
      <c r="F497" s="1550"/>
      <c r="G497" s="1550"/>
      <c r="H497" s="1550"/>
      <c r="I497" s="1550"/>
      <c r="J497" s="1550"/>
      <c r="K497" s="1550"/>
      <c r="L497" s="1550"/>
      <c r="M497" s="1550"/>
      <c r="N497" s="143"/>
      <c r="O497" s="733"/>
      <c r="P497" s="33"/>
      <c r="Q497" s="352" t="str">
        <f>EUconst_SumNonSustBioCO2 &amp; "_" &amp; K494</f>
        <v>SUM_bioNonSustCO2_</v>
      </c>
      <c r="R497" s="707"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4"/>
      <c r="AK497" s="504"/>
      <c r="AL497" s="342"/>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4.5" hidden="1" customHeight="1" thickBot="1">
      <c r="A498" s="808"/>
      <c r="B498" s="166"/>
      <c r="C498" s="166"/>
      <c r="D498" s="166"/>
      <c r="E498" s="166"/>
      <c r="F498" s="166"/>
      <c r="G498" s="166"/>
      <c r="M498" s="143"/>
      <c r="N498" s="143"/>
      <c r="O498" s="733"/>
      <c r="P498" s="23"/>
      <c r="Q498" s="23"/>
      <c r="R498" s="23"/>
      <c r="S498" s="23"/>
      <c r="T498" s="23"/>
      <c r="U498" s="23"/>
      <c r="V498" s="30"/>
      <c r="W498" s="30"/>
      <c r="X498" s="30"/>
      <c r="Y498" s="494"/>
      <c r="Z498" s="30"/>
      <c r="AA498" s="30"/>
      <c r="AB498" s="30"/>
      <c r="AC498" s="30"/>
      <c r="AD498" s="30"/>
      <c r="AE498" s="30"/>
      <c r="AF498" s="58"/>
      <c r="AG498" s="30"/>
      <c r="AH498" s="30"/>
      <c r="AI498" s="30"/>
      <c r="AJ498" s="504"/>
      <c r="AK498" s="504"/>
      <c r="AL498" s="342"/>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hidden="1" customHeight="1" thickBot="1">
      <c r="A499" s="808"/>
      <c r="B499" s="166"/>
      <c r="C499" s="814" t="s">
        <v>4</v>
      </c>
      <c r="D499" s="512" t="str">
        <f>Translations!$B$622</f>
        <v>VD:</v>
      </c>
      <c r="E499" s="1560" t="str">
        <f>Translations!$B$667</f>
        <v>Ar veiklos duomenys gaunami sudedant išmatuotus kiekius (t. y. ne atliekant nuolatinius matavimus)?</v>
      </c>
      <c r="F499" s="1560"/>
      <c r="G499" s="1560"/>
      <c r="H499" s="1560"/>
      <c r="I499" s="1560"/>
      <c r="J499" s="1560"/>
      <c r="K499" s="1560"/>
      <c r="L499" s="1179"/>
      <c r="M499" s="507"/>
      <c r="O499" s="733"/>
      <c r="P499" s="23"/>
      <c r="Q499" s="23"/>
      <c r="R499" s="23"/>
      <c r="S499" s="23"/>
      <c r="T499" s="23"/>
      <c r="U499" s="23"/>
      <c r="V499" s="30"/>
      <c r="W499" s="30"/>
      <c r="X499" s="30"/>
      <c r="Y499" s="494"/>
      <c r="Z499" s="30"/>
      <c r="AA499" s="30"/>
      <c r="AB499" s="30"/>
      <c r="AC499" s="1172" t="b">
        <f>AND(E494&lt;&gt;"",T495&lt;&gt;TRUE)</f>
        <v>0</v>
      </c>
      <c r="AD499" s="30"/>
      <c r="AE499" s="30"/>
      <c r="AF499" s="58"/>
      <c r="AG499" s="30"/>
      <c r="AH499" s="30"/>
      <c r="AI499" s="30"/>
      <c r="AJ499" s="504"/>
      <c r="AK499" s="504"/>
      <c r="AL499" s="342"/>
      <c r="AM499" s="30"/>
      <c r="AN499" s="30"/>
      <c r="AO499" s="30"/>
      <c r="AP499" s="30"/>
      <c r="AQ499" s="30"/>
      <c r="AR499" s="30"/>
      <c r="AS499" s="30"/>
      <c r="AT499" s="1172"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2" t="b">
        <f>OR(CNTR_CalcRelevant=EUconst_NotRelevant,AND(COUNTA(CNTR_ListRelevantSections)&gt;0,OR(T495=TRUE,E494="")))</f>
        <v>1</v>
      </c>
    </row>
    <row r="500" spans="1:78" s="142" customFormat="1" ht="5.0999999999999996" hidden="1" customHeight="1" thickBot="1">
      <c r="A500" s="808"/>
      <c r="B500" s="166"/>
      <c r="C500" s="166"/>
      <c r="D500" s="166"/>
      <c r="E500" s="166"/>
      <c r="F500" s="166"/>
      <c r="G500" s="166"/>
      <c r="H500" s="495"/>
      <c r="I500" s="495"/>
      <c r="J500" s="495"/>
      <c r="K500" s="495"/>
      <c r="L500" s="495"/>
      <c r="M500" s="507"/>
      <c r="O500" s="733"/>
      <c r="P500" s="23"/>
      <c r="Q500" s="23"/>
      <c r="R500" s="23"/>
      <c r="S500" s="23"/>
      <c r="T500" s="23"/>
      <c r="U500" s="23"/>
      <c r="V500" s="30"/>
      <c r="W500" s="30"/>
      <c r="X500" s="30"/>
      <c r="Y500" s="494"/>
      <c r="Z500" s="30"/>
      <c r="AA500" s="30"/>
      <c r="AB500" s="30"/>
      <c r="AC500" s="492"/>
      <c r="AD500" s="30"/>
      <c r="AE500" s="30"/>
      <c r="AF500" s="58"/>
      <c r="AG500" s="30"/>
      <c r="AH500" s="30"/>
      <c r="AI500" s="30"/>
      <c r="AJ500" s="504"/>
      <c r="AK500" s="504"/>
      <c r="AL500" s="342"/>
      <c r="AM500" s="30"/>
      <c r="AN500" s="30"/>
      <c r="AO500" s="30"/>
      <c r="AP500" s="30"/>
      <c r="AQ500" s="30"/>
      <c r="AR500" s="30"/>
      <c r="AS500" s="30"/>
      <c r="AT500" s="492"/>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2"/>
    </row>
    <row r="501" spans="1:78" s="142" customFormat="1" ht="12.75" hidden="1" customHeight="1" thickBot="1">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3"/>
      <c r="Q501" s="23"/>
      <c r="R501" s="23"/>
      <c r="S501" s="23"/>
      <c r="T501" s="23"/>
      <c r="U501" s="23"/>
      <c r="V501" s="30"/>
      <c r="W501" s="30"/>
      <c r="X501" s="30"/>
      <c r="Y501" s="494"/>
      <c r="Z501" s="30"/>
      <c r="AA501" s="30"/>
      <c r="AB501" s="30"/>
      <c r="AC501" s="1172" t="b">
        <f>AC499</f>
        <v>0</v>
      </c>
      <c r="AD501" s="30"/>
      <c r="AE501" s="30"/>
      <c r="AF501" s="58"/>
      <c r="AG501" s="30"/>
      <c r="AH501" s="30"/>
      <c r="AI501" s="30"/>
      <c r="AJ501" s="504"/>
      <c r="AK501" s="504"/>
      <c r="AL501" s="342"/>
      <c r="AM501" s="30"/>
      <c r="AN501" s="30"/>
      <c r="AO501" s="30"/>
      <c r="AP501" s="30"/>
      <c r="AQ501" s="30"/>
      <c r="AR501" s="30"/>
      <c r="AS501" s="30"/>
      <c r="AT501" s="1172"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2" t="b">
        <f>OR(BZ499,AND(NOT(ISBLANK(L499)),L499=FALSE))</f>
        <v>1</v>
      </c>
    </row>
    <row r="502" spans="1:78" s="142" customFormat="1" ht="5.0999999999999996" hidden="1" customHeight="1" thickBot="1">
      <c r="A502" s="808"/>
      <c r="B502" s="166"/>
      <c r="C502" s="166"/>
      <c r="D502" s="166"/>
      <c r="E502" s="166"/>
      <c r="F502" s="166"/>
      <c r="G502" s="166"/>
      <c r="M502" s="143"/>
      <c r="N502" s="143"/>
      <c r="O502" s="733"/>
      <c r="P502" s="23"/>
      <c r="Q502" s="23"/>
      <c r="R502" s="23"/>
      <c r="S502" s="23"/>
      <c r="T502" s="23"/>
      <c r="U502" s="23"/>
      <c r="V502" s="30"/>
      <c r="W502" s="30"/>
      <c r="X502" s="30"/>
      <c r="Y502" s="494"/>
      <c r="Z502" s="30"/>
      <c r="AA502" s="30"/>
      <c r="AB502" s="30"/>
      <c r="AC502" s="30"/>
      <c r="AD502" s="30"/>
      <c r="AE502" s="30"/>
      <c r="AF502" s="58"/>
      <c r="AG502" s="30"/>
      <c r="AH502" s="30"/>
      <c r="AI502" s="30"/>
      <c r="AJ502" s="504"/>
      <c r="AK502" s="504"/>
      <c r="AL502" s="342"/>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hidden="1" customHeight="1" thickBot="1">
      <c r="A503" s="808"/>
      <c r="B503" s="166"/>
      <c r="C503" s="166"/>
      <c r="D503" s="166"/>
      <c r="E503" s="166"/>
      <c r="F503" s="506" t="str">
        <f>Translations!$B$333</f>
        <v>Pakopa</v>
      </c>
      <c r="G503" s="1557" t="str">
        <f>Translations!$B$672</f>
        <v>pakopos aprašas</v>
      </c>
      <c r="H503" s="1557"/>
      <c r="I503" s="1555" t="str">
        <f>Translations!$B$158</f>
        <v>Vienetas</v>
      </c>
      <c r="J503" s="1555"/>
      <c r="K503" s="1555" t="str">
        <f>Translations!$B$673</f>
        <v>Vertė</v>
      </c>
      <c r="L503" s="1555"/>
      <c r="M503" s="507" t="str">
        <f>Translations!$B$610</f>
        <v>klaida</v>
      </c>
      <c r="O503" s="733"/>
      <c r="P503" s="508"/>
      <c r="Q503" s="352" t="str">
        <f>EUconst_SumEnergyIN &amp; "_" &amp; K494</f>
        <v>SUM_EnergyIN_</v>
      </c>
      <c r="R503" s="399" t="str">
        <f>IF(OR(K494="",T495)=TRUE,"",INDEX(BC509:BE509,MATCH(K494,BC504:BE504,0)))</f>
        <v/>
      </c>
      <c r="S503" s="30"/>
      <c r="T503" s="489"/>
      <c r="U503" s="30"/>
      <c r="V503" s="509" t="s">
        <v>303</v>
      </c>
      <c r="W503" s="30"/>
      <c r="X503" s="30"/>
      <c r="Y503" s="494" t="s">
        <v>566</v>
      </c>
      <c r="Z503" s="494" t="s">
        <v>318</v>
      </c>
      <c r="AA503" s="30"/>
      <c r="AB503" s="30"/>
      <c r="AC503" s="505" t="s">
        <v>309</v>
      </c>
      <c r="AD503" s="30"/>
      <c r="AE503" s="30"/>
      <c r="AF503" s="492" t="s">
        <v>305</v>
      </c>
      <c r="AG503" s="492" t="s">
        <v>306</v>
      </c>
      <c r="AH503" s="494" t="s">
        <v>304</v>
      </c>
      <c r="AI503" s="504" t="s">
        <v>307</v>
      </c>
      <c r="AJ503" s="504" t="s">
        <v>567</v>
      </c>
      <c r="AK503" s="510" t="s">
        <v>311</v>
      </c>
      <c r="AL503" s="342"/>
      <c r="AM503" s="30"/>
      <c r="AN503" s="492" t="s">
        <v>305</v>
      </c>
      <c r="AO503" s="492" t="s">
        <v>306</v>
      </c>
      <c r="AP503" s="511" t="s">
        <v>310</v>
      </c>
      <c r="AQ503" s="504" t="s">
        <v>569</v>
      </c>
      <c r="AR503" s="504" t="s">
        <v>568</v>
      </c>
      <c r="AS503" s="510" t="s">
        <v>311</v>
      </c>
      <c r="AT503" s="510" t="s">
        <v>311</v>
      </c>
      <c r="AU503" s="30"/>
      <c r="AV503" s="492"/>
      <c r="AW503" s="492"/>
      <c r="AX503" s="492" t="s">
        <v>321</v>
      </c>
      <c r="AY503" s="492"/>
      <c r="AZ503" s="492"/>
      <c r="BA503" s="492"/>
      <c r="BB503" s="492"/>
      <c r="BC503" s="492"/>
      <c r="BD503" s="492"/>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3" t="s">
        <v>262</v>
      </c>
    </row>
    <row r="504" spans="1:78" s="142" customFormat="1" ht="12.75" hidden="1" customHeight="1" thickBot="1">
      <c r="A504" s="808"/>
      <c r="B504" s="166"/>
      <c r="C504" s="777" t="s">
        <v>196</v>
      </c>
      <c r="D504" s="512" t="str">
        <f>Translations!$B$622</f>
        <v>VD:</v>
      </c>
      <c r="E504" s="513"/>
      <c r="F504" s="402"/>
      <c r="G504" s="1532" t="str">
        <f>IF(OR(ISBLANK(F504),F504=EUconst_NoTier),"",IF(Z504=0,EUconst_NA,IF(ISERROR(Z504),"",Z504)))</f>
        <v/>
      </c>
      <c r="H504" s="1533"/>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0"/>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0"/>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0"/>
      <c r="AV504" s="492" t="s">
        <v>314</v>
      </c>
      <c r="AW504" s="492" t="s">
        <v>319</v>
      </c>
      <c r="AX504" s="524"/>
      <c r="AY504" s="30" t="s">
        <v>542</v>
      </c>
      <c r="AZ504" s="30"/>
      <c r="BA504" s="30"/>
      <c r="BB504" s="504"/>
      <c r="BC504" s="493" t="str">
        <f>EUconst_Fuel</f>
        <v>Degimas</v>
      </c>
      <c r="BD504" s="493" t="str">
        <f>EUconst_ProcessCarbonate</f>
        <v>Proceso metu išsiskiriančios ŠESD</v>
      </c>
      <c r="BE504" s="493"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4" t="b">
        <f>BZ499</f>
        <v>1</v>
      </c>
    </row>
    <row r="505" spans="1:78" s="142" customFormat="1" ht="4.5" hidden="1" customHeight="1" thickBot="1">
      <c r="A505" s="808"/>
      <c r="B505" s="166"/>
      <c r="C505" s="814"/>
      <c r="D505" s="306"/>
      <c r="F505" s="143"/>
      <c r="G505" s="143"/>
      <c r="H505" s="143" t="s">
        <v>236</v>
      </c>
      <c r="I505" s="525"/>
      <c r="J505" s="525"/>
      <c r="K505" s="143"/>
      <c r="L505" s="143"/>
      <c r="M505" s="710"/>
      <c r="O505" s="733"/>
      <c r="P505" s="33"/>
      <c r="Q505" s="33"/>
      <c r="R505" s="33"/>
      <c r="S505" s="30"/>
      <c r="T505" s="155"/>
      <c r="U505" s="497"/>
      <c r="V505" s="30"/>
      <c r="W505" s="30"/>
      <c r="X505" s="497"/>
      <c r="Y505" s="526"/>
      <c r="Z505" s="30"/>
      <c r="AA505" s="30"/>
      <c r="AB505" s="30"/>
      <c r="AC505" s="30"/>
      <c r="AD505" s="30"/>
      <c r="AE505" s="30"/>
      <c r="AF505" s="30"/>
      <c r="AG505" s="30"/>
      <c r="AH505" s="30"/>
      <c r="AI505" s="30"/>
      <c r="AJ505" s="30"/>
      <c r="AK505" s="30"/>
      <c r="AL505" s="342"/>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3"/>
    </row>
    <row r="506" spans="1:78" s="142" customFormat="1" ht="12.75" hidden="1" customHeight="1" thickBot="1">
      <c r="A506" s="808"/>
      <c r="B506" s="166"/>
      <c r="C506" s="814" t="s">
        <v>197</v>
      </c>
      <c r="D506" s="512" t="str">
        <f>Translations!$B$634</f>
        <v>(prelim.) ITF:</v>
      </c>
      <c r="E506" s="513"/>
      <c r="F506" s="527"/>
      <c r="G506" s="1532" t="str">
        <f t="shared" ref="G506:G512" si="112">IF(OR(ISBLANK(F506),F506=EUconst_NoTier),"",IF(Z506=0,EUconst_NotApplicable,IF(ISERROR(Z506),"",Z506)))</f>
        <v/>
      </c>
      <c r="H506" s="1556"/>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3"/>
      <c r="Q506" s="33"/>
      <c r="R506" s="33"/>
      <c r="S506" s="30"/>
      <c r="T506" s="530" t="str">
        <f>EUconst_CNTR_EF&amp;E495</f>
        <v>EF_</v>
      </c>
      <c r="U506" s="497"/>
      <c r="V506" s="531" t="str">
        <f>V504</f>
        <v/>
      </c>
      <c r="W506" s="30"/>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0"/>
      <c r="AC506" s="535" t="b">
        <f>AND(AC504,Y506&lt;&gt;EUconst_NA)</f>
        <v>0</v>
      </c>
      <c r="AD506" s="30"/>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0"/>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0"/>
      <c r="BA506" s="30"/>
      <c r="BB506" s="547" t="s">
        <v>594</v>
      </c>
      <c r="BC506" s="546" t="str">
        <f>IF(K494=BC504,AR504*IF(AJ506=EUconst_tCO2pTJ,(AR507/1000),1)*AR506*AR508*AR512,"")</f>
        <v/>
      </c>
      <c r="BD506" s="524" t="str">
        <f>IF(K494=BD504,AR504*AR506*AR509*AR512,"")</f>
        <v/>
      </c>
      <c r="BE506" s="523"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1" t="b">
        <f>OR(BZ504,Y506=EUconst_NA)</f>
        <v>1</v>
      </c>
    </row>
    <row r="507" spans="1:78" s="142" customFormat="1" ht="12.75" hidden="1" customHeight="1" thickBot="1">
      <c r="A507" s="808"/>
      <c r="B507" s="166"/>
      <c r="C507" s="814" t="s">
        <v>198</v>
      </c>
      <c r="D507" s="512" t="str">
        <f>Translations!$B$636</f>
        <v>GŠV:</v>
      </c>
      <c r="E507" s="513"/>
      <c r="F507" s="548"/>
      <c r="G507" s="1532" t="str">
        <f t="shared" si="112"/>
        <v/>
      </c>
      <c r="H507" s="1533"/>
      <c r="I507" s="1169" t="str">
        <f>AJ507</f>
        <v/>
      </c>
      <c r="J507" s="549"/>
      <c r="K507" s="550" t="str">
        <f t="shared" si="113"/>
        <v/>
      </c>
      <c r="L507" s="551"/>
      <c r="M507" s="709" t="str">
        <f>IF(AND(E495&lt;&gt;"",OR(F507="",COUNT(K507:L507)=0),Y507&lt;&gt;EUconst_NA,T495&lt;&gt;TRUE),EUconst_ERR_Incomplete,IF(COUNTIF(AX507:AZ507,TRUE)&gt;0,EUconst_ERR_Inconsistent,""))</f>
        <v/>
      </c>
      <c r="O507" s="733"/>
      <c r="P507" s="33"/>
      <c r="Q507" s="33"/>
      <c r="R507" s="33"/>
      <c r="S507" s="30"/>
      <c r="T507" s="552" t="str">
        <f>EUconst_CNTR_NCV&amp;E495</f>
        <v>NCV_</v>
      </c>
      <c r="U507" s="497"/>
      <c r="V507" s="553" t="str">
        <f t="shared" ref="V507:V512" si="118">V506</f>
        <v/>
      </c>
      <c r="W507" s="30"/>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0"/>
      <c r="AC507" s="557" t="b">
        <f>AND(AC504,Y507&lt;&gt;EUconst_NA)</f>
        <v>0</v>
      </c>
      <c r="AD507" s="30"/>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0"/>
      <c r="AV507" s="567" t="b">
        <f t="shared" si="115"/>
        <v>0</v>
      </c>
      <c r="AW507" s="568" t="b">
        <f t="shared" si="116"/>
        <v>0</v>
      </c>
      <c r="AX507" s="30"/>
      <c r="AY507" s="553" t="b">
        <f t="shared" si="117"/>
        <v>0</v>
      </c>
      <c r="AZ507" s="30"/>
      <c r="BA507" s="30"/>
      <c r="BB507" s="547" t="s">
        <v>595</v>
      </c>
      <c r="BC507" s="546" t="str">
        <f>IF(K494=BC504,AR504*IF(AJ506=EUconst_tCO2pTJ,(AR507/1000),1)*AR506*AR508*AR511,"")</f>
        <v/>
      </c>
      <c r="BD507" s="524" t="str">
        <f>IF(K494=BD504,AR504*AR506*AR509*AR511,"")</f>
        <v/>
      </c>
      <c r="BE507" s="523"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3" t="b">
        <f>OR(BZ504,Y507=EUconst_NA)</f>
        <v>1</v>
      </c>
    </row>
    <row r="508" spans="1:78" s="142" customFormat="1" ht="12.75" hidden="1" customHeight="1" thickBot="1">
      <c r="A508" s="808"/>
      <c r="B508" s="166"/>
      <c r="C508" s="814" t="s">
        <v>199</v>
      </c>
      <c r="D508" s="512" t="str">
        <f>Translations!$B$638</f>
        <v>OksK:</v>
      </c>
      <c r="E508" s="513"/>
      <c r="F508" s="548"/>
      <c r="G508" s="1532" t="str">
        <f t="shared" si="112"/>
        <v/>
      </c>
      <c r="H508" s="1533"/>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3"/>
      <c r="Q508" s="33"/>
      <c r="R508" s="33"/>
      <c r="S508" s="30"/>
      <c r="T508" s="552" t="str">
        <f>EUconst_CNTR_OxidationFactor&amp;E495</f>
        <v>OxF_</v>
      </c>
      <c r="U508" s="497"/>
      <c r="V508" s="553" t="str">
        <f t="shared" si="118"/>
        <v/>
      </c>
      <c r="W508" s="30"/>
      <c r="X508" s="497"/>
      <c r="Y508" s="554" t="str">
        <f>IF(OR(T495=TRUE,E495=""),"",INDEX(EUwideConstants!$N:$N,MATCH(T508,EUwideConstants!$Q:$Q,0)))</f>
        <v/>
      </c>
      <c r="Z508" s="555" t="str">
        <f>IF(ISBLANK(F508),"",IF(F508=EUconst_NA,"",INDEX(EUwideConstants!$H:$M,MATCH(T508,EUwideConstants!$Q:$Q,0),MATCH(F508,CNTR_TierList,0))))</f>
        <v/>
      </c>
      <c r="AA508" s="534" t="str">
        <f>IF(F508=1,1,"")</f>
        <v/>
      </c>
      <c r="AB508" s="30"/>
      <c r="AC508" s="557" t="b">
        <f>AND(AC504,Y508&lt;&gt;EUconst_NA)</f>
        <v>0</v>
      </c>
      <c r="AD508" s="30"/>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0"/>
      <c r="AV508" s="567" t="b">
        <f t="shared" si="115"/>
        <v>0</v>
      </c>
      <c r="AW508" s="568" t="b">
        <f t="shared" si="116"/>
        <v>0</v>
      </c>
      <c r="AX508" s="30"/>
      <c r="AY508" s="594" t="b">
        <f t="shared" si="117"/>
        <v>0</v>
      </c>
      <c r="AZ508" s="531" t="b">
        <f>AR508&gt;100%</f>
        <v>0</v>
      </c>
      <c r="BA508" s="30"/>
      <c r="BB508" s="547" t="s">
        <v>290</v>
      </c>
      <c r="BC508" s="546" t="str">
        <f>IF(K494=BC504,AR504*IF(AJ506=EUconst_tCO2pTJ,(AR507/1000),1)*AR506*AR508*(1-AR511),"")</f>
        <v/>
      </c>
      <c r="BD508" s="524" t="str">
        <f>IF(K494=BD504,AR504*AR506*AR509*(1-AR511),"")</f>
        <v/>
      </c>
      <c r="BE508" s="523"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3" t="b">
        <f>OR(BZ504,Y508=EUconst_NA)</f>
        <v>1</v>
      </c>
    </row>
    <row r="509" spans="1:78" s="142" customFormat="1" ht="12.75" hidden="1" customHeight="1" thickBot="1">
      <c r="A509" s="808"/>
      <c r="B509" s="166"/>
      <c r="C509" s="814" t="s">
        <v>200</v>
      </c>
      <c r="D509" s="512" t="str">
        <f>Translations!$B$639</f>
        <v>KonvK:</v>
      </c>
      <c r="E509" s="513"/>
      <c r="F509" s="548"/>
      <c r="G509" s="1532" t="str">
        <f t="shared" si="112"/>
        <v/>
      </c>
      <c r="H509" s="1533"/>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3"/>
      <c r="Q509" s="33"/>
      <c r="R509" s="33"/>
      <c r="S509" s="30"/>
      <c r="T509" s="552" t="str">
        <f>EUconst_CNTR_ConversionFactor&amp;E495</f>
        <v>ConvF_</v>
      </c>
      <c r="U509" s="497"/>
      <c r="V509" s="553" t="str">
        <f t="shared" si="118"/>
        <v/>
      </c>
      <c r="W509" s="30"/>
      <c r="X509" s="497"/>
      <c r="Y509" s="554" t="str">
        <f>IF(OR(T495=TRUE,E495=""),"",INDEX(EUwideConstants!$N:$N,MATCH(T509,EUwideConstants!$Q:$Q,0)))</f>
        <v/>
      </c>
      <c r="Z509" s="555" t="str">
        <f>IF(ISBLANK(F509),"",IF(F509=EUconst_NA,"",INDEX(EUwideConstants!$H:$M,MATCH(T509,EUwideConstants!$Q:$Q,0),MATCH(F509,CNTR_TierList,0))))</f>
        <v/>
      </c>
      <c r="AA509" s="582" t="str">
        <f>IF(F509=1,1,"")</f>
        <v/>
      </c>
      <c r="AB509" s="30"/>
      <c r="AC509" s="557" t="b">
        <f>AND(AC504,Y509&lt;&gt;EUconst_NA)</f>
        <v>0</v>
      </c>
      <c r="AD509" s="30"/>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0"/>
      <c r="AV509" s="567" t="b">
        <f t="shared" si="115"/>
        <v>0</v>
      </c>
      <c r="AW509" s="568" t="b">
        <f t="shared" si="116"/>
        <v>0</v>
      </c>
      <c r="AX509" s="30"/>
      <c r="AY509" s="594" t="b">
        <f t="shared" si="117"/>
        <v>0</v>
      </c>
      <c r="AZ509" s="580" t="b">
        <f>AR509&gt;100%</f>
        <v>0</v>
      </c>
      <c r="BA509" s="30"/>
      <c r="BB509" s="578" t="s">
        <v>487</v>
      </c>
      <c r="BC509" s="579">
        <f>AR504*AR507/1000*(1-AR511)</f>
        <v>0</v>
      </c>
      <c r="BD509" s="580">
        <f>BC509</f>
        <v>0</v>
      </c>
      <c r="BE509" s="581">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3" t="b">
        <f>OR(BZ504,Y509=EUconst_NA)</f>
        <v>1</v>
      </c>
    </row>
    <row r="510" spans="1:78" s="142" customFormat="1" ht="12.75" hidden="1" customHeight="1" thickBot="1">
      <c r="A510" s="808"/>
      <c r="B510" s="166"/>
      <c r="C510" s="814" t="s">
        <v>329</v>
      </c>
      <c r="D510" s="512" t="str">
        <f>Translations!$B$640</f>
        <v>AnglK:</v>
      </c>
      <c r="E510" s="513"/>
      <c r="F510" s="548"/>
      <c r="G510" s="1532" t="str">
        <f t="shared" si="112"/>
        <v/>
      </c>
      <c r="H510" s="1533"/>
      <c r="I510" s="1170" t="str">
        <f>AJ510</f>
        <v/>
      </c>
      <c r="J510" s="586"/>
      <c r="K510" s="587" t="str">
        <f t="shared" si="113"/>
        <v/>
      </c>
      <c r="L510" s="588"/>
      <c r="M510" s="709" t="str">
        <f>IF(AND(E495&lt;&gt;"",OR(F510="",COUNT(K510:L510)=0),Y510&lt;&gt;EUconst_NA,T495&lt;&gt;TRUE),EUconst_ERR_Incomplete,IF(COUNTIF(AX510:AZ510,TRUE)&gt;0,EUconst_ERR_Inconsistent,""))</f>
        <v/>
      </c>
      <c r="O510" s="733"/>
      <c r="P510" s="33"/>
      <c r="Q510" s="33"/>
      <c r="R510" s="33"/>
      <c r="S510" s="30"/>
      <c r="T510" s="552" t="str">
        <f>EUconst_CNTR_CarbonContent&amp;E495</f>
        <v>CarbC_</v>
      </c>
      <c r="U510" s="497"/>
      <c r="V510" s="553" t="str">
        <f t="shared" si="118"/>
        <v/>
      </c>
      <c r="W510" s="30"/>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0"/>
      <c r="AC510" s="557" t="b">
        <f>AND(AC504,Y510&lt;&gt;EUconst_NA)</f>
        <v>0</v>
      </c>
      <c r="AD510" s="30"/>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0"/>
      <c r="AV510" s="567" t="b">
        <f t="shared" si="115"/>
        <v>0</v>
      </c>
      <c r="AW510" s="568" t="b">
        <f t="shared" si="116"/>
        <v>0</v>
      </c>
      <c r="AX510" s="546" t="b">
        <f>OR(AND(AJ504=EUconst_kNm3,AJ510=EUconst_tCpt),AND(AJ504=EUconst_t,AJ510=EUconst_tCpkNm3))</f>
        <v>0</v>
      </c>
      <c r="AY510" s="553" t="b">
        <f t="shared" si="117"/>
        <v>0</v>
      </c>
      <c r="AZ510" s="30"/>
      <c r="BA510" s="30"/>
      <c r="BB510" s="578" t="s">
        <v>488</v>
      </c>
      <c r="BC510" s="579">
        <f>AR504*AR507/1000*AR511</f>
        <v>0</v>
      </c>
      <c r="BD510" s="580">
        <f>BC510</f>
        <v>0</v>
      </c>
      <c r="BE510" s="581">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3" t="b">
        <f>OR(BZ504,Y510=EUconst_NA)</f>
        <v>1</v>
      </c>
    </row>
    <row r="511" spans="1:78" s="142" customFormat="1" ht="12.75" hidden="1" customHeight="1" thickBot="1">
      <c r="A511" s="808"/>
      <c r="B511" s="166"/>
      <c r="C511" s="777" t="s">
        <v>330</v>
      </c>
      <c r="D511" s="512" t="str">
        <f>Translations!$B$641</f>
        <v>BioC:</v>
      </c>
      <c r="E511" s="513"/>
      <c r="F511" s="548"/>
      <c r="G511" s="1532" t="str">
        <f t="shared" si="112"/>
        <v/>
      </c>
      <c r="H511" s="1533"/>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0"/>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0"/>
      <c r="AC511" s="557" t="b">
        <f>AND(AC504,Y511&lt;&gt;EUconst_NA)</f>
        <v>0</v>
      </c>
      <c r="AD511" s="30"/>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0"/>
      <c r="AV511" s="567" t="b">
        <f t="shared" si="115"/>
        <v>0</v>
      </c>
      <c r="AW511" s="568" t="b">
        <f t="shared" si="116"/>
        <v>0</v>
      </c>
      <c r="AX511" s="30"/>
      <c r="AY511" s="594" t="b">
        <f t="shared" si="117"/>
        <v>0</v>
      </c>
      <c r="AZ511" s="531"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3" t="b">
        <f>OR(BZ504,Y511=EUconst_NA)</f>
        <v>1</v>
      </c>
    </row>
    <row r="512" spans="1:78" s="142" customFormat="1" ht="12.75" hidden="1" customHeight="1" thickBot="1">
      <c r="A512" s="808"/>
      <c r="B512" s="166"/>
      <c r="C512" s="777" t="s">
        <v>454</v>
      </c>
      <c r="D512" s="512" t="str">
        <f>Translations!$B$647</f>
        <v>Netvar. BioC:</v>
      </c>
      <c r="E512" s="513"/>
      <c r="F512" s="597"/>
      <c r="G512" s="1532" t="str">
        <f t="shared" si="112"/>
        <v/>
      </c>
      <c r="H512" s="1533"/>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0"/>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0"/>
      <c r="AC512" s="603" t="b">
        <f>AND(AC504,Y512&lt;&gt;EUconst_NA)</f>
        <v>0</v>
      </c>
      <c r="AD512" s="30"/>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0"/>
      <c r="AV512" s="613" t="b">
        <f t="shared" si="115"/>
        <v>0</v>
      </c>
      <c r="AW512" s="614" t="b">
        <f t="shared" si="116"/>
        <v>0</v>
      </c>
      <c r="AX512" s="30"/>
      <c r="AY512" s="579" t="b">
        <f t="shared" si="117"/>
        <v>0</v>
      </c>
      <c r="AZ512" s="580"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80" t="b">
        <f>OR(BZ504,Y512=EUconst_NA)</f>
        <v>1</v>
      </c>
    </row>
    <row r="513" spans="1:78" s="142" customFormat="1" ht="5.0999999999999996" hidden="1" customHeight="1" thickBot="1">
      <c r="A513" s="808"/>
      <c r="B513" s="166"/>
      <c r="C513" s="166"/>
      <c r="D513" s="180"/>
      <c r="O513" s="733"/>
      <c r="P513" s="33"/>
      <c r="Q513" s="33"/>
      <c r="R513" s="33"/>
      <c r="S513" s="174"/>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hidden="1" customHeight="1" thickBot="1">
      <c r="A514" s="808"/>
      <c r="B514" s="166"/>
      <c r="C514" s="166"/>
      <c r="D514" s="1558" t="str">
        <f>Translations!$B$674</f>
        <v>Pakopos galioja nuo:</v>
      </c>
      <c r="E514" s="1558"/>
      <c r="F514" s="1559"/>
      <c r="G514" s="1052"/>
      <c r="H514" s="615" t="str">
        <f>Translations!$B$675</f>
        <v>iki:</v>
      </c>
      <c r="I514" s="1052"/>
      <c r="J514" s="1536" t="str">
        <f>Translations!$B$676</f>
        <v>Atliekų katalogo numeris (jeigu taikytina):</v>
      </c>
      <c r="K514" s="1537"/>
      <c r="L514" s="1537"/>
      <c r="M514" s="1538"/>
      <c r="N514" s="1289"/>
      <c r="O514" s="733"/>
      <c r="P514" s="33"/>
      <c r="Q514" s="33"/>
      <c r="R514" s="33"/>
      <c r="S514" s="1290"/>
      <c r="T514" s="492"/>
      <c r="U514" s="492"/>
      <c r="V514" s="48" t="b">
        <f>IF(V504="",FALSE,INDEX(CNTR_IsWaste,MATCH(V504,MSParameters!$A$218:$A$376,0)))</f>
        <v>0</v>
      </c>
      <c r="W514" s="1290"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hidden="1" customHeight="1" thickBot="1">
      <c r="A515" s="808"/>
      <c r="B515" s="166"/>
      <c r="C515" s="166"/>
      <c r="D515" s="615"/>
      <c r="E515" s="495"/>
      <c r="F515" s="495"/>
      <c r="G515" s="495"/>
      <c r="H515" s="495"/>
      <c r="I515" s="495"/>
      <c r="J515" s="495"/>
      <c r="K515" s="495"/>
      <c r="L515" s="495"/>
      <c r="M515" s="495"/>
      <c r="N515" s="495"/>
      <c r="O515" s="733"/>
      <c r="P515" s="33"/>
      <c r="Q515" s="33"/>
      <c r="R515" s="33"/>
      <c r="S515" s="174"/>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hidden="1" customHeight="1" thickBot="1">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3"/>
      <c r="Q516" s="33"/>
      <c r="R516" s="33"/>
      <c r="S516" s="174"/>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4.5" hidden="1" customHeight="1" thickBot="1">
      <c r="A517" s="815"/>
      <c r="D517" s="180"/>
      <c r="O517" s="573"/>
      <c r="P517" s="497"/>
      <c r="Q517" s="497"/>
      <c r="R517" s="497"/>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ht="13.5" hidden="1" thickBot="1">
      <c r="A518" s="815"/>
      <c r="D518" s="1534" t="str">
        <f>Translations!$B$160</f>
        <v>Pastabos:</v>
      </c>
      <c r="E518" s="1535"/>
      <c r="F518" s="1539"/>
      <c r="G518" s="1540"/>
      <c r="H518" s="1540"/>
      <c r="I518" s="1540"/>
      <c r="J518" s="1540"/>
      <c r="K518" s="1540"/>
      <c r="L518" s="1540"/>
      <c r="M518" s="1540"/>
      <c r="N518" s="1541"/>
      <c r="O518" s="573"/>
      <c r="P518" s="497"/>
      <c r="Q518" s="497"/>
      <c r="R518" s="497"/>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c r="A519" s="808"/>
      <c r="B519" s="495"/>
      <c r="C519" s="499"/>
      <c r="D519" s="500"/>
      <c r="E519" s="501"/>
      <c r="F519" s="499"/>
      <c r="G519" s="502"/>
      <c r="H519" s="502"/>
      <c r="I519" s="502"/>
      <c r="J519" s="502"/>
      <c r="K519" s="502"/>
      <c r="L519" s="502"/>
      <c r="M519" s="502"/>
      <c r="N519" s="502"/>
      <c r="O519" s="740"/>
      <c r="P519" s="494"/>
      <c r="Q519" s="494"/>
      <c r="R519" s="494"/>
      <c r="S519" s="58"/>
      <c r="T519" s="58"/>
      <c r="U519" s="498"/>
      <c r="V519" s="58"/>
      <c r="W519" s="58"/>
      <c r="X519" s="49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c r="A520" s="813"/>
      <c r="B520" s="495"/>
      <c r="C520" s="495"/>
      <c r="D520" s="180"/>
      <c r="E520" s="496"/>
      <c r="F520" s="495"/>
      <c r="G520" s="487"/>
      <c r="H520" s="487"/>
      <c r="I520" s="487"/>
      <c r="J520" s="487"/>
      <c r="K520" s="495"/>
      <c r="L520" s="487"/>
      <c r="M520" s="487"/>
      <c r="N520" s="487"/>
      <c r="O520" s="740"/>
      <c r="P520" s="494"/>
      <c r="Q520" s="494"/>
      <c r="R520" s="494"/>
      <c r="S520" s="23"/>
      <c r="T520" s="27" t="str">
        <f>IF(ISBLANK(E521),"",MATCH(E521,CNTR_SourceStreamNames,0))</f>
        <v/>
      </c>
      <c r="U520" s="618"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1"/>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3" t="s">
        <v>262</v>
      </c>
    </row>
    <row r="521" spans="1:78" s="142" customFormat="1" ht="15" hidden="1" customHeight="1" thickBot="1">
      <c r="A521" s="869" t="str">
        <f>IF(E521="","","PRINT")</f>
        <v/>
      </c>
      <c r="B521" s="166"/>
      <c r="C521" s="617">
        <f>C494+1</f>
        <v>18</v>
      </c>
      <c r="D521" s="166"/>
      <c r="E521" s="1542"/>
      <c r="F521" s="1543"/>
      <c r="G521" s="1543"/>
      <c r="H521" s="1543"/>
      <c r="I521" s="1543"/>
      <c r="J521" s="1544"/>
      <c r="K521" s="1545" t="str">
        <f>IF(E522="","",INDEX(EUwideConstants!$F$353:$F$394,MATCH(E522,EUConst_TierActivityListNames,0)))</f>
        <v/>
      </c>
      <c r="L521" s="1546"/>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3"/>
      <c r="T521" s="509" t="s">
        <v>393</v>
      </c>
      <c r="U521" s="23"/>
      <c r="V521" s="78"/>
      <c r="W521" s="56"/>
      <c r="X521" s="58"/>
      <c r="Y521" s="58"/>
      <c r="Z521" s="58"/>
      <c r="AA521" s="58"/>
      <c r="AB521" s="58"/>
      <c r="AC521" s="58"/>
      <c r="AD521" s="58"/>
      <c r="AE521" s="58"/>
      <c r="AF521" s="58"/>
      <c r="AG521" s="58"/>
      <c r="AH521" s="58"/>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6"/>
      <c r="BZ521" s="619" t="b">
        <f>CNTR_CalcRelevant=EUconst_NotRelevant</f>
        <v>0</v>
      </c>
    </row>
    <row r="522" spans="1:78" s="142" customFormat="1" ht="15" hidden="1" customHeight="1" thickBot="1">
      <c r="A522" s="808"/>
      <c r="B522" s="166"/>
      <c r="C522" s="166"/>
      <c r="D522" s="166"/>
      <c r="E522" s="1547" t="str">
        <f>IF(ISBLANK(E521),"",IF(INDEX(B_InstallationDescription!$E$71:$E$145,MATCH(U520,B_InstallationDescription!$D$71:$D$145,0))&gt;0,INDEX(B_InstallationDescription!$E$71:$E$145,MATCH(U520,B_InstallationDescription!$D$71:$D$145,0)),""))</f>
        <v/>
      </c>
      <c r="F522" s="1548"/>
      <c r="G522" s="1548"/>
      <c r="H522" s="1548"/>
      <c r="I522" s="1548"/>
      <c r="J522" s="1549"/>
      <c r="M522" s="346" t="str">
        <f>Translations!$B$666</f>
        <v>CO2, biomasės kilmės.:</v>
      </c>
      <c r="N522" s="1051" t="str">
        <f>IF(OR(K521="",T522=TRUE),"",INDEX(BC534:BE534,MATCH(K521,BC531:BE531,0)))</f>
        <v/>
      </c>
      <c r="O522" s="742" t="s">
        <v>260</v>
      </c>
      <c r="P522" s="494"/>
      <c r="Q522" s="352" t="str">
        <f>EUconst_SumBioCO2 &amp; "_" &amp; K521</f>
        <v>SUM_bioCO2_</v>
      </c>
      <c r="R522" s="494"/>
      <c r="S522" s="23"/>
      <c r="T522" s="48" t="str">
        <f>IF(E522="","",MATCH(E522,EUConst_TierActivityListNames,0)&gt;40)</f>
        <v/>
      </c>
      <c r="U522" s="23"/>
      <c r="V522" s="78"/>
      <c r="W522" s="56"/>
      <c r="X522" s="58"/>
      <c r="Y522" s="27" t="s">
        <v>93</v>
      </c>
      <c r="Z522" s="30"/>
      <c r="AA522" s="30"/>
      <c r="AB522" s="30"/>
      <c r="AC522" s="30"/>
      <c r="AD522" s="30"/>
      <c r="AE522" s="27" t="s">
        <v>302</v>
      </c>
      <c r="AF522" s="58"/>
      <c r="AG522" s="504"/>
      <c r="AH522" s="30"/>
      <c r="AI522" s="30"/>
      <c r="AJ522" s="504"/>
      <c r="AK522" s="504"/>
      <c r="AL522" s="342"/>
      <c r="AM522" s="27" t="s">
        <v>308</v>
      </c>
      <c r="AN522" s="505"/>
      <c r="AO522" s="505"/>
      <c r="AP522" s="30"/>
      <c r="AQ522" s="30"/>
      <c r="AR522" s="30"/>
      <c r="AS522" s="30"/>
      <c r="AT522" s="30"/>
      <c r="AU522" s="30"/>
      <c r="AV522" s="27" t="s">
        <v>315</v>
      </c>
      <c r="AW522" s="30"/>
      <c r="AX522" s="492"/>
      <c r="AY522" s="30"/>
      <c r="AZ522" s="30"/>
      <c r="BA522" s="30"/>
      <c r="BB522" s="27" t="s">
        <v>219</v>
      </c>
      <c r="BC522" s="30"/>
      <c r="BD522" s="30"/>
      <c r="BE522" s="30"/>
      <c r="BF522" s="30"/>
      <c r="BG522" s="27"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0"/>
      <c r="BZ522" s="30"/>
    </row>
    <row r="523" spans="1:78" s="142" customFormat="1" ht="5.0999999999999996" hidden="1" customHeight="1" thickBot="1">
      <c r="A523" s="808"/>
      <c r="B523" s="166"/>
      <c r="C523" s="166"/>
      <c r="D523" s="166"/>
      <c r="E523" s="166"/>
      <c r="F523" s="166"/>
      <c r="G523" s="166"/>
      <c r="M523" s="143"/>
      <c r="N523" s="143"/>
      <c r="O523" s="733"/>
      <c r="P523" s="33"/>
      <c r="Q523" s="33"/>
      <c r="R523" s="33"/>
      <c r="S523" s="23"/>
      <c r="T523" s="23"/>
      <c r="U523" s="23"/>
      <c r="V523" s="78"/>
      <c r="W523" s="30"/>
      <c r="X523" s="30"/>
      <c r="Y523" s="494"/>
      <c r="Z523" s="30"/>
      <c r="AA523" s="30"/>
      <c r="AB523" s="30"/>
      <c r="AC523" s="30"/>
      <c r="AD523" s="30"/>
      <c r="AE523" s="30"/>
      <c r="AF523" s="58"/>
      <c r="AG523" s="30"/>
      <c r="AH523" s="30"/>
      <c r="AI523" s="30"/>
      <c r="AJ523" s="504"/>
      <c r="AK523" s="504"/>
      <c r="AL523" s="342"/>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hidden="1" customHeight="1" thickBot="1">
      <c r="A524" s="808"/>
      <c r="B524" s="166"/>
      <c r="C524" s="166"/>
      <c r="D524" s="166"/>
      <c r="E524" s="1550" t="str">
        <f>IF(E521="","",IF(T522=TRUE,HYPERLINK("#JUMP_14",EUconst_MsgGoOnPFC),HYPERLINK("#JUMP_E_8",EUconst_FurtherGuidancePoint1)))</f>
        <v/>
      </c>
      <c r="F524" s="1550"/>
      <c r="G524" s="1550"/>
      <c r="H524" s="1550"/>
      <c r="I524" s="1550"/>
      <c r="J524" s="1550"/>
      <c r="K524" s="1550"/>
      <c r="L524" s="1550"/>
      <c r="M524" s="1550"/>
      <c r="N524" s="143"/>
      <c r="O524" s="733"/>
      <c r="P524" s="33"/>
      <c r="Q524" s="352" t="str">
        <f>EUconst_SumNonSustBioCO2 &amp; "_" &amp; K521</f>
        <v>SUM_bioNonSustCO2_</v>
      </c>
      <c r="R524" s="707"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4"/>
      <c r="AK524" s="504"/>
      <c r="AL524" s="342"/>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hidden="1" customHeight="1" thickBot="1">
      <c r="A525" s="808"/>
      <c r="B525" s="166"/>
      <c r="C525" s="166"/>
      <c r="D525" s="166"/>
      <c r="E525" s="166"/>
      <c r="F525" s="166"/>
      <c r="G525" s="166"/>
      <c r="M525" s="143"/>
      <c r="N525" s="143"/>
      <c r="O525" s="733"/>
      <c r="P525" s="23"/>
      <c r="Q525" s="23"/>
      <c r="R525" s="23"/>
      <c r="S525" s="23"/>
      <c r="T525" s="23"/>
      <c r="U525" s="23"/>
      <c r="V525" s="30"/>
      <c r="W525" s="30"/>
      <c r="X525" s="30"/>
      <c r="Y525" s="494"/>
      <c r="Z525" s="30"/>
      <c r="AA525" s="30"/>
      <c r="AB525" s="30"/>
      <c r="AC525" s="30"/>
      <c r="AD525" s="30"/>
      <c r="AE525" s="30"/>
      <c r="AF525" s="58"/>
      <c r="AG525" s="30"/>
      <c r="AH525" s="30"/>
      <c r="AI525" s="30"/>
      <c r="AJ525" s="504"/>
      <c r="AK525" s="504"/>
      <c r="AL525" s="342"/>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hidden="1" customHeight="1" thickBot="1">
      <c r="A526" s="808"/>
      <c r="B526" s="166"/>
      <c r="C526" s="814" t="s">
        <v>4</v>
      </c>
      <c r="D526" s="512" t="str">
        <f>Translations!$B$622</f>
        <v>VD:</v>
      </c>
      <c r="E526" s="1560" t="str">
        <f>Translations!$B$667</f>
        <v>Ar veiklos duomenys gaunami sudedant išmatuotus kiekius (t. y. ne atliekant nuolatinius matavimus)?</v>
      </c>
      <c r="F526" s="1560"/>
      <c r="G526" s="1560"/>
      <c r="H526" s="1560"/>
      <c r="I526" s="1560"/>
      <c r="J526" s="1560"/>
      <c r="K526" s="1560"/>
      <c r="L526" s="1179"/>
      <c r="M526" s="507"/>
      <c r="O526" s="733"/>
      <c r="P526" s="23"/>
      <c r="Q526" s="23"/>
      <c r="R526" s="23"/>
      <c r="S526" s="23"/>
      <c r="T526" s="23"/>
      <c r="U526" s="23"/>
      <c r="V526" s="30"/>
      <c r="W526" s="30"/>
      <c r="X526" s="30"/>
      <c r="Y526" s="494"/>
      <c r="Z526" s="30"/>
      <c r="AA526" s="30"/>
      <c r="AB526" s="30"/>
      <c r="AC526" s="1172" t="b">
        <f>AND(E521&lt;&gt;"",T522&lt;&gt;TRUE)</f>
        <v>0</v>
      </c>
      <c r="AD526" s="30"/>
      <c r="AE526" s="30"/>
      <c r="AF526" s="58"/>
      <c r="AG526" s="30"/>
      <c r="AH526" s="30"/>
      <c r="AI526" s="30"/>
      <c r="AJ526" s="504"/>
      <c r="AK526" s="504"/>
      <c r="AL526" s="342"/>
      <c r="AM526" s="30"/>
      <c r="AN526" s="30"/>
      <c r="AO526" s="30"/>
      <c r="AP526" s="30"/>
      <c r="AQ526" s="30"/>
      <c r="AR526" s="30"/>
      <c r="AS526" s="30"/>
      <c r="AT526" s="1172"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2" t="b">
        <f>OR(CNTR_CalcRelevant=EUconst_NotRelevant,AND(COUNTA(CNTR_ListRelevantSections)&gt;0,OR(T522=TRUE,E521="")))</f>
        <v>1</v>
      </c>
    </row>
    <row r="527" spans="1:78" s="142" customFormat="1" ht="5.0999999999999996" hidden="1" customHeight="1" thickBot="1">
      <c r="A527" s="808"/>
      <c r="B527" s="166"/>
      <c r="C527" s="166"/>
      <c r="D527" s="166"/>
      <c r="E527" s="166"/>
      <c r="F527" s="166"/>
      <c r="G527" s="166"/>
      <c r="H527" s="495"/>
      <c r="I527" s="495"/>
      <c r="J527" s="495"/>
      <c r="K527" s="495"/>
      <c r="L527" s="495"/>
      <c r="M527" s="507"/>
      <c r="O527" s="733"/>
      <c r="P527" s="23"/>
      <c r="Q527" s="23"/>
      <c r="R527" s="23"/>
      <c r="S527" s="23"/>
      <c r="T527" s="23"/>
      <c r="U527" s="23"/>
      <c r="V527" s="30"/>
      <c r="W527" s="30"/>
      <c r="X527" s="30"/>
      <c r="Y527" s="494"/>
      <c r="Z527" s="30"/>
      <c r="AA527" s="30"/>
      <c r="AB527" s="30"/>
      <c r="AC527" s="492"/>
      <c r="AD527" s="30"/>
      <c r="AE527" s="30"/>
      <c r="AF527" s="58"/>
      <c r="AG527" s="30"/>
      <c r="AH527" s="30"/>
      <c r="AI527" s="30"/>
      <c r="AJ527" s="504"/>
      <c r="AK527" s="504"/>
      <c r="AL527" s="342"/>
      <c r="AM527" s="30"/>
      <c r="AN527" s="30"/>
      <c r="AO527" s="30"/>
      <c r="AP527" s="30"/>
      <c r="AQ527" s="30"/>
      <c r="AR527" s="30"/>
      <c r="AS527" s="30"/>
      <c r="AT527" s="492"/>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2"/>
    </row>
    <row r="528" spans="1:78" s="142" customFormat="1" ht="12.75" hidden="1" customHeight="1" thickBot="1">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3"/>
      <c r="Q528" s="23"/>
      <c r="R528" s="23"/>
      <c r="S528" s="23"/>
      <c r="T528" s="23"/>
      <c r="U528" s="23"/>
      <c r="V528" s="30"/>
      <c r="W528" s="30"/>
      <c r="X528" s="30"/>
      <c r="Y528" s="494"/>
      <c r="Z528" s="30"/>
      <c r="AA528" s="30"/>
      <c r="AB528" s="30"/>
      <c r="AC528" s="1172" t="b">
        <f>AC526</f>
        <v>0</v>
      </c>
      <c r="AD528" s="30"/>
      <c r="AE528" s="30"/>
      <c r="AF528" s="58"/>
      <c r="AG528" s="30"/>
      <c r="AH528" s="30"/>
      <c r="AI528" s="30"/>
      <c r="AJ528" s="504"/>
      <c r="AK528" s="504"/>
      <c r="AL528" s="342"/>
      <c r="AM528" s="30"/>
      <c r="AN528" s="30"/>
      <c r="AO528" s="30"/>
      <c r="AP528" s="30"/>
      <c r="AQ528" s="30"/>
      <c r="AR528" s="30"/>
      <c r="AS528" s="30"/>
      <c r="AT528" s="1172"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2" t="b">
        <f>OR(BZ526,AND(NOT(ISBLANK(L526)),L526=FALSE))</f>
        <v>1</v>
      </c>
    </row>
    <row r="529" spans="1:78" s="142" customFormat="1" ht="5.0999999999999996" hidden="1" customHeight="1" thickBot="1">
      <c r="A529" s="808"/>
      <c r="B529" s="166"/>
      <c r="C529" s="166"/>
      <c r="D529" s="166"/>
      <c r="E529" s="166"/>
      <c r="F529" s="166"/>
      <c r="G529" s="166"/>
      <c r="M529" s="143"/>
      <c r="N529" s="143"/>
      <c r="O529" s="733"/>
      <c r="P529" s="23"/>
      <c r="Q529" s="23"/>
      <c r="R529" s="23"/>
      <c r="S529" s="23"/>
      <c r="T529" s="23"/>
      <c r="U529" s="23"/>
      <c r="V529" s="30"/>
      <c r="W529" s="30"/>
      <c r="X529" s="30"/>
      <c r="Y529" s="494"/>
      <c r="Z529" s="30"/>
      <c r="AA529" s="30"/>
      <c r="AB529" s="30"/>
      <c r="AC529" s="30"/>
      <c r="AD529" s="30"/>
      <c r="AE529" s="30"/>
      <c r="AF529" s="58"/>
      <c r="AG529" s="30"/>
      <c r="AH529" s="30"/>
      <c r="AI529" s="30"/>
      <c r="AJ529" s="504"/>
      <c r="AK529" s="504"/>
      <c r="AL529" s="342"/>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hidden="1" customHeight="1" thickBot="1">
      <c r="A530" s="808"/>
      <c r="B530" s="166"/>
      <c r="C530" s="166"/>
      <c r="D530" s="166"/>
      <c r="E530" s="166"/>
      <c r="F530" s="506" t="str">
        <f>Translations!$B$333</f>
        <v>Pakopa</v>
      </c>
      <c r="G530" s="1557" t="str">
        <f>Translations!$B$672</f>
        <v>pakopos aprašas</v>
      </c>
      <c r="H530" s="1557"/>
      <c r="I530" s="1555" t="str">
        <f>Translations!$B$158</f>
        <v>Vienetas</v>
      </c>
      <c r="J530" s="1555"/>
      <c r="K530" s="1555" t="str">
        <f>Translations!$B$673</f>
        <v>Vertė</v>
      </c>
      <c r="L530" s="1555"/>
      <c r="M530" s="507" t="str">
        <f>Translations!$B$610</f>
        <v>klaida</v>
      </c>
      <c r="O530" s="733"/>
      <c r="P530" s="508"/>
      <c r="Q530" s="352" t="str">
        <f>EUconst_SumEnergyIN &amp; "_" &amp; K521</f>
        <v>SUM_EnergyIN_</v>
      </c>
      <c r="R530" s="399" t="str">
        <f>IF(OR(K521="",T522)=TRUE,"",INDEX(BC536:BE536,MATCH(K521,BC531:BE531,0)))</f>
        <v/>
      </c>
      <c r="S530" s="30"/>
      <c r="T530" s="489"/>
      <c r="U530" s="30"/>
      <c r="V530" s="509" t="s">
        <v>303</v>
      </c>
      <c r="W530" s="30"/>
      <c r="X530" s="30"/>
      <c r="Y530" s="494" t="s">
        <v>566</v>
      </c>
      <c r="Z530" s="494" t="s">
        <v>318</v>
      </c>
      <c r="AA530" s="30"/>
      <c r="AB530" s="30"/>
      <c r="AC530" s="505" t="s">
        <v>309</v>
      </c>
      <c r="AD530" s="30"/>
      <c r="AE530" s="30"/>
      <c r="AF530" s="492" t="s">
        <v>305</v>
      </c>
      <c r="AG530" s="492" t="s">
        <v>306</v>
      </c>
      <c r="AH530" s="494" t="s">
        <v>304</v>
      </c>
      <c r="AI530" s="504" t="s">
        <v>307</v>
      </c>
      <c r="AJ530" s="504" t="s">
        <v>567</v>
      </c>
      <c r="AK530" s="510" t="s">
        <v>311</v>
      </c>
      <c r="AL530" s="342"/>
      <c r="AM530" s="30"/>
      <c r="AN530" s="492" t="s">
        <v>305</v>
      </c>
      <c r="AO530" s="492" t="s">
        <v>306</v>
      </c>
      <c r="AP530" s="511" t="s">
        <v>310</v>
      </c>
      <c r="AQ530" s="504" t="s">
        <v>569</v>
      </c>
      <c r="AR530" s="504" t="s">
        <v>568</v>
      </c>
      <c r="AS530" s="510" t="s">
        <v>311</v>
      </c>
      <c r="AT530" s="510" t="s">
        <v>311</v>
      </c>
      <c r="AU530" s="30"/>
      <c r="AV530" s="492"/>
      <c r="AW530" s="492"/>
      <c r="AX530" s="492" t="s">
        <v>321</v>
      </c>
      <c r="AY530" s="492"/>
      <c r="AZ530" s="492"/>
      <c r="BA530" s="492"/>
      <c r="BB530" s="492"/>
      <c r="BC530" s="492"/>
      <c r="BD530" s="492"/>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3" t="s">
        <v>262</v>
      </c>
    </row>
    <row r="531" spans="1:78" s="142" customFormat="1" ht="12.75" hidden="1" customHeight="1" thickBot="1">
      <c r="A531" s="808"/>
      <c r="B531" s="166"/>
      <c r="C531" s="777" t="s">
        <v>196</v>
      </c>
      <c r="D531" s="512" t="str">
        <f>Translations!$B$622</f>
        <v>VD:</v>
      </c>
      <c r="E531" s="513"/>
      <c r="F531" s="402"/>
      <c r="G531" s="1532" t="str">
        <f>IF(OR(ISBLANK(F531),F531=EUconst_NoTier),"",IF(Z531=0,EUconst_NA,IF(ISERROR(Z531),"",Z531)))</f>
        <v/>
      </c>
      <c r="H531" s="1533"/>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0"/>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0"/>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0"/>
      <c r="AV531" s="492" t="s">
        <v>314</v>
      </c>
      <c r="AW531" s="492" t="s">
        <v>319</v>
      </c>
      <c r="AX531" s="524"/>
      <c r="AY531" s="30" t="s">
        <v>542</v>
      </c>
      <c r="AZ531" s="30"/>
      <c r="BA531" s="30"/>
      <c r="BB531" s="504"/>
      <c r="BC531" s="493" t="str">
        <f>EUconst_Fuel</f>
        <v>Degimas</v>
      </c>
      <c r="BD531" s="493" t="str">
        <f>EUconst_ProcessCarbonate</f>
        <v>Proceso metu išsiskiriančios ŠESD</v>
      </c>
      <c r="BE531" s="493"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4" t="b">
        <f>BZ526</f>
        <v>1</v>
      </c>
    </row>
    <row r="532" spans="1:78" s="142" customFormat="1" ht="5.0999999999999996" hidden="1" customHeight="1" thickBot="1">
      <c r="A532" s="808"/>
      <c r="B532" s="166"/>
      <c r="C532" s="814"/>
      <c r="D532" s="306"/>
      <c r="F532" s="143"/>
      <c r="G532" s="143"/>
      <c r="H532" s="143" t="s">
        <v>236</v>
      </c>
      <c r="I532" s="525"/>
      <c r="J532" s="525"/>
      <c r="K532" s="143"/>
      <c r="L532" s="143"/>
      <c r="M532" s="710"/>
      <c r="O532" s="733"/>
      <c r="P532" s="33"/>
      <c r="Q532" s="33"/>
      <c r="R532" s="33"/>
      <c r="S532" s="30"/>
      <c r="T532" s="155"/>
      <c r="U532" s="497"/>
      <c r="V532" s="30"/>
      <c r="W532" s="30"/>
      <c r="X532" s="497"/>
      <c r="Y532" s="526"/>
      <c r="Z532" s="30"/>
      <c r="AA532" s="30"/>
      <c r="AB532" s="30"/>
      <c r="AC532" s="30"/>
      <c r="AD532" s="30"/>
      <c r="AE532" s="30"/>
      <c r="AF532" s="30"/>
      <c r="AG532" s="30"/>
      <c r="AH532" s="30"/>
      <c r="AI532" s="30"/>
      <c r="AJ532" s="30"/>
      <c r="AK532" s="30"/>
      <c r="AL532" s="342"/>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3"/>
    </row>
    <row r="533" spans="1:78" s="142" customFormat="1" ht="12.75" hidden="1" customHeight="1" thickBot="1">
      <c r="A533" s="808"/>
      <c r="B533" s="166"/>
      <c r="C533" s="814" t="s">
        <v>197</v>
      </c>
      <c r="D533" s="512" t="str">
        <f>Translations!$B$634</f>
        <v>(prelim.) ITF:</v>
      </c>
      <c r="E533" s="513"/>
      <c r="F533" s="527"/>
      <c r="G533" s="1532" t="str">
        <f t="shared" ref="G533:G539" si="119">IF(OR(ISBLANK(F533),F533=EUconst_NoTier),"",IF(Z533=0,EUconst_NotApplicable,IF(ISERROR(Z533),"",Z533)))</f>
        <v/>
      </c>
      <c r="H533" s="1556"/>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3"/>
      <c r="Q533" s="33"/>
      <c r="R533" s="33"/>
      <c r="S533" s="30"/>
      <c r="T533" s="530" t="str">
        <f>EUconst_CNTR_EF&amp;E522</f>
        <v>EF_</v>
      </c>
      <c r="U533" s="497"/>
      <c r="V533" s="531" t="str">
        <f>V531</f>
        <v/>
      </c>
      <c r="W533" s="30"/>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0"/>
      <c r="AC533" s="535" t="b">
        <f>AND(AC531,Y533&lt;&gt;EUconst_NA)</f>
        <v>0</v>
      </c>
      <c r="AD533" s="30"/>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0"/>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0"/>
      <c r="BA533" s="30"/>
      <c r="BB533" s="547" t="s">
        <v>594</v>
      </c>
      <c r="BC533" s="546" t="str">
        <f>IF(K521=BC531,AR531*IF(AJ533=EUconst_tCO2pTJ,(AR534/1000),1)*AR533*AR535*AR539,"")</f>
        <v/>
      </c>
      <c r="BD533" s="524" t="str">
        <f>IF(K521=BD531,AR531*AR533*AR536*AR539,"")</f>
        <v/>
      </c>
      <c r="BE533" s="523"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1" t="b">
        <f>OR(BZ531,Y533=EUconst_NA)</f>
        <v>1</v>
      </c>
    </row>
    <row r="534" spans="1:78" s="142" customFormat="1" ht="12.75" hidden="1" customHeight="1" thickBot="1">
      <c r="A534" s="808"/>
      <c r="B534" s="166"/>
      <c r="C534" s="814" t="s">
        <v>198</v>
      </c>
      <c r="D534" s="512" t="str">
        <f>Translations!$B$636</f>
        <v>GŠV:</v>
      </c>
      <c r="E534" s="513"/>
      <c r="F534" s="548"/>
      <c r="G534" s="1532" t="str">
        <f t="shared" si="119"/>
        <v/>
      </c>
      <c r="H534" s="1533"/>
      <c r="I534" s="1169" t="str">
        <f>AJ534</f>
        <v/>
      </c>
      <c r="J534" s="549"/>
      <c r="K534" s="550" t="str">
        <f t="shared" si="120"/>
        <v/>
      </c>
      <c r="L534" s="551"/>
      <c r="M534" s="709" t="str">
        <f>IF(AND(E522&lt;&gt;"",OR(F534="",COUNT(K534:L534)=0),Y534&lt;&gt;EUconst_NA,T522&lt;&gt;TRUE),EUconst_ERR_Incomplete,IF(COUNTIF(AX534:AZ534,TRUE)&gt;0,EUconst_ERR_Inconsistent,""))</f>
        <v/>
      </c>
      <c r="O534" s="733"/>
      <c r="P534" s="33"/>
      <c r="Q534" s="33"/>
      <c r="R534" s="33"/>
      <c r="S534" s="30"/>
      <c r="T534" s="552" t="str">
        <f>EUconst_CNTR_NCV&amp;E522</f>
        <v>NCV_</v>
      </c>
      <c r="U534" s="497"/>
      <c r="V534" s="553" t="str">
        <f t="shared" ref="V534:V539" si="125">V533</f>
        <v/>
      </c>
      <c r="W534" s="30"/>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0"/>
      <c r="AC534" s="557" t="b">
        <f>AND(AC531,Y534&lt;&gt;EUconst_NA)</f>
        <v>0</v>
      </c>
      <c r="AD534" s="30"/>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0"/>
      <c r="AV534" s="567" t="b">
        <f t="shared" si="122"/>
        <v>0</v>
      </c>
      <c r="AW534" s="568" t="b">
        <f t="shared" si="123"/>
        <v>0</v>
      </c>
      <c r="AX534" s="30"/>
      <c r="AY534" s="553" t="b">
        <f t="shared" si="124"/>
        <v>0</v>
      </c>
      <c r="AZ534" s="30"/>
      <c r="BA534" s="30"/>
      <c r="BB534" s="547" t="s">
        <v>595</v>
      </c>
      <c r="BC534" s="546" t="str">
        <f>IF(K521=BC531,AR531*IF(AJ533=EUconst_tCO2pTJ,(AR534/1000),1)*AR533*AR535*AR538,"")</f>
        <v/>
      </c>
      <c r="BD534" s="524" t="str">
        <f>IF(K521=BD531,AR531*AR533*AR536*AR538,"")</f>
        <v/>
      </c>
      <c r="BE534" s="523"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3" t="b">
        <f>OR(BZ531,Y534=EUconst_NA)</f>
        <v>1</v>
      </c>
    </row>
    <row r="535" spans="1:78" s="142" customFormat="1" ht="12.75" hidden="1" customHeight="1" thickBot="1">
      <c r="A535" s="808"/>
      <c r="B535" s="166"/>
      <c r="C535" s="814" t="s">
        <v>199</v>
      </c>
      <c r="D535" s="512" t="str">
        <f>Translations!$B$638</f>
        <v>OksK:</v>
      </c>
      <c r="E535" s="513"/>
      <c r="F535" s="548"/>
      <c r="G535" s="1532" t="str">
        <f t="shared" si="119"/>
        <v/>
      </c>
      <c r="H535" s="1533"/>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3"/>
      <c r="Q535" s="33"/>
      <c r="R535" s="33"/>
      <c r="S535" s="30"/>
      <c r="T535" s="552" t="str">
        <f>EUconst_CNTR_OxidationFactor&amp;E522</f>
        <v>OxF_</v>
      </c>
      <c r="U535" s="497"/>
      <c r="V535" s="553" t="str">
        <f t="shared" si="125"/>
        <v/>
      </c>
      <c r="W535" s="30"/>
      <c r="X535" s="497"/>
      <c r="Y535" s="554" t="str">
        <f>IF(OR(T522=TRUE,E522=""),"",INDEX(EUwideConstants!$N:$N,MATCH(T535,EUwideConstants!$Q:$Q,0)))</f>
        <v/>
      </c>
      <c r="Z535" s="555" t="str">
        <f>IF(ISBLANK(F535),"",IF(F535=EUconst_NA,"",INDEX(EUwideConstants!$H:$M,MATCH(T535,EUwideConstants!$Q:$Q,0),MATCH(F535,CNTR_TierList,0))))</f>
        <v/>
      </c>
      <c r="AA535" s="534" t="str">
        <f>IF(F535=1,1,"")</f>
        <v/>
      </c>
      <c r="AB535" s="30"/>
      <c r="AC535" s="557" t="b">
        <f>AND(AC531,Y535&lt;&gt;EUconst_NA)</f>
        <v>0</v>
      </c>
      <c r="AD535" s="30"/>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0"/>
      <c r="AV535" s="567" t="b">
        <f t="shared" si="122"/>
        <v>0</v>
      </c>
      <c r="AW535" s="568" t="b">
        <f t="shared" si="123"/>
        <v>0</v>
      </c>
      <c r="AX535" s="30"/>
      <c r="AY535" s="594" t="b">
        <f t="shared" si="124"/>
        <v>0</v>
      </c>
      <c r="AZ535" s="531" t="b">
        <f>AR535&gt;100%</f>
        <v>0</v>
      </c>
      <c r="BA535" s="30"/>
      <c r="BB535" s="547" t="s">
        <v>290</v>
      </c>
      <c r="BC535" s="546" t="str">
        <f>IF(K521=BC531,AR531*IF(AJ533=EUconst_tCO2pTJ,(AR534/1000),1)*AR533*AR535*(1-AR538),"")</f>
        <v/>
      </c>
      <c r="BD535" s="524" t="str">
        <f>IF(K521=BD531,AR531*AR533*AR536*(1-AR538),"")</f>
        <v/>
      </c>
      <c r="BE535" s="523"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3" t="b">
        <f>OR(BZ531,Y535=EUconst_NA)</f>
        <v>1</v>
      </c>
    </row>
    <row r="536" spans="1:78" s="142" customFormat="1" ht="12.75" hidden="1" customHeight="1" thickBot="1">
      <c r="A536" s="808"/>
      <c r="B536" s="166"/>
      <c r="C536" s="814" t="s">
        <v>200</v>
      </c>
      <c r="D536" s="512" t="str">
        <f>Translations!$B$639</f>
        <v>KonvK:</v>
      </c>
      <c r="E536" s="513"/>
      <c r="F536" s="548"/>
      <c r="G536" s="1532" t="str">
        <f t="shared" si="119"/>
        <v/>
      </c>
      <c r="H536" s="1533"/>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3"/>
      <c r="Q536" s="33"/>
      <c r="R536" s="33"/>
      <c r="S536" s="30"/>
      <c r="T536" s="552" t="str">
        <f>EUconst_CNTR_ConversionFactor&amp;E522</f>
        <v>ConvF_</v>
      </c>
      <c r="U536" s="497"/>
      <c r="V536" s="553" t="str">
        <f t="shared" si="125"/>
        <v/>
      </c>
      <c r="W536" s="30"/>
      <c r="X536" s="497"/>
      <c r="Y536" s="554" t="str">
        <f>IF(OR(T522=TRUE,E522=""),"",INDEX(EUwideConstants!$N:$N,MATCH(T536,EUwideConstants!$Q:$Q,0)))</f>
        <v/>
      </c>
      <c r="Z536" s="555" t="str">
        <f>IF(ISBLANK(F536),"",IF(F536=EUconst_NA,"",INDEX(EUwideConstants!$H:$M,MATCH(T536,EUwideConstants!$Q:$Q,0),MATCH(F536,CNTR_TierList,0))))</f>
        <v/>
      </c>
      <c r="AA536" s="582" t="str">
        <f>IF(F536=1,1,"")</f>
        <v/>
      </c>
      <c r="AB536" s="30"/>
      <c r="AC536" s="557" t="b">
        <f>AND(AC531,Y536&lt;&gt;EUconst_NA)</f>
        <v>0</v>
      </c>
      <c r="AD536" s="30"/>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0"/>
      <c r="AV536" s="567" t="b">
        <f t="shared" si="122"/>
        <v>0</v>
      </c>
      <c r="AW536" s="568" t="b">
        <f t="shared" si="123"/>
        <v>0</v>
      </c>
      <c r="AX536" s="30"/>
      <c r="AY536" s="594" t="b">
        <f t="shared" si="124"/>
        <v>0</v>
      </c>
      <c r="AZ536" s="580" t="b">
        <f>AR536&gt;100%</f>
        <v>0</v>
      </c>
      <c r="BA536" s="30"/>
      <c r="BB536" s="578" t="s">
        <v>487</v>
      </c>
      <c r="BC536" s="579">
        <f>AR531*AR534/1000*(1-AR538)</f>
        <v>0</v>
      </c>
      <c r="BD536" s="580">
        <f>BC536</f>
        <v>0</v>
      </c>
      <c r="BE536" s="581">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3" t="b">
        <f>OR(BZ531,Y536=EUconst_NA)</f>
        <v>1</v>
      </c>
    </row>
    <row r="537" spans="1:78" s="142" customFormat="1" ht="12.75" hidden="1" customHeight="1" thickBot="1">
      <c r="A537" s="808"/>
      <c r="B537" s="166"/>
      <c r="C537" s="814" t="s">
        <v>329</v>
      </c>
      <c r="D537" s="512" t="str">
        <f>Translations!$B$640</f>
        <v>AnglK:</v>
      </c>
      <c r="E537" s="513"/>
      <c r="F537" s="548"/>
      <c r="G537" s="1532" t="str">
        <f t="shared" si="119"/>
        <v/>
      </c>
      <c r="H537" s="1533"/>
      <c r="I537" s="1170" t="str">
        <f>AJ537</f>
        <v/>
      </c>
      <c r="J537" s="586"/>
      <c r="K537" s="587" t="str">
        <f t="shared" si="120"/>
        <v/>
      </c>
      <c r="L537" s="588"/>
      <c r="M537" s="709" t="str">
        <f>IF(AND(E522&lt;&gt;"",OR(F537="",COUNT(K537:L537)=0),Y537&lt;&gt;EUconst_NA,T522&lt;&gt;TRUE),EUconst_ERR_Incomplete,IF(COUNTIF(AX537:AZ537,TRUE)&gt;0,EUconst_ERR_Inconsistent,""))</f>
        <v/>
      </c>
      <c r="O537" s="733"/>
      <c r="P537" s="33"/>
      <c r="Q537" s="33"/>
      <c r="R537" s="33"/>
      <c r="S537" s="30"/>
      <c r="T537" s="552" t="str">
        <f>EUconst_CNTR_CarbonContent&amp;E522</f>
        <v>CarbC_</v>
      </c>
      <c r="U537" s="497"/>
      <c r="V537" s="553" t="str">
        <f t="shared" si="125"/>
        <v/>
      </c>
      <c r="W537" s="30"/>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0"/>
      <c r="AC537" s="557" t="b">
        <f>AND(AC531,Y537&lt;&gt;EUconst_NA)</f>
        <v>0</v>
      </c>
      <c r="AD537" s="30"/>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0"/>
      <c r="AV537" s="567" t="b">
        <f t="shared" si="122"/>
        <v>0</v>
      </c>
      <c r="AW537" s="568" t="b">
        <f t="shared" si="123"/>
        <v>0</v>
      </c>
      <c r="AX537" s="546" t="b">
        <f>OR(AND(AJ531=EUconst_kNm3,AJ537=EUconst_tCpt),AND(AJ531=EUconst_t,AJ537=EUconst_tCpkNm3))</f>
        <v>0</v>
      </c>
      <c r="AY537" s="553" t="b">
        <f t="shared" si="124"/>
        <v>0</v>
      </c>
      <c r="AZ537" s="30"/>
      <c r="BA537" s="30"/>
      <c r="BB537" s="578" t="s">
        <v>488</v>
      </c>
      <c r="BC537" s="579">
        <f>AR531*AR534/1000*AR538</f>
        <v>0</v>
      </c>
      <c r="BD537" s="580">
        <f>BC537</f>
        <v>0</v>
      </c>
      <c r="BE537" s="581">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3" t="b">
        <f>OR(BZ531,Y537=EUconst_NA)</f>
        <v>1</v>
      </c>
    </row>
    <row r="538" spans="1:78" s="142" customFormat="1" ht="12.75" hidden="1" customHeight="1" thickBot="1">
      <c r="A538" s="808"/>
      <c r="B538" s="166"/>
      <c r="C538" s="777" t="s">
        <v>330</v>
      </c>
      <c r="D538" s="512" t="str">
        <f>Translations!$B$641</f>
        <v>BioC:</v>
      </c>
      <c r="E538" s="513"/>
      <c r="F538" s="548"/>
      <c r="G538" s="1532" t="str">
        <f t="shared" si="119"/>
        <v/>
      </c>
      <c r="H538" s="1533"/>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0"/>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0"/>
      <c r="AC538" s="557" t="b">
        <f>AND(AC531,Y538&lt;&gt;EUconst_NA)</f>
        <v>0</v>
      </c>
      <c r="AD538" s="30"/>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0"/>
      <c r="AV538" s="567" t="b">
        <f t="shared" si="122"/>
        <v>0</v>
      </c>
      <c r="AW538" s="568" t="b">
        <f t="shared" si="123"/>
        <v>0</v>
      </c>
      <c r="AX538" s="30"/>
      <c r="AY538" s="594" t="b">
        <f t="shared" si="124"/>
        <v>0</v>
      </c>
      <c r="AZ538" s="531"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3" t="b">
        <f>OR(BZ531,Y538=EUconst_NA)</f>
        <v>1</v>
      </c>
    </row>
    <row r="539" spans="1:78" s="142" customFormat="1" ht="12.75" hidden="1" customHeight="1" thickBot="1">
      <c r="A539" s="808"/>
      <c r="B539" s="166"/>
      <c r="C539" s="777" t="s">
        <v>454</v>
      </c>
      <c r="D539" s="512" t="str">
        <f>Translations!$B$647</f>
        <v>Netvar. BioC:</v>
      </c>
      <c r="E539" s="513"/>
      <c r="F539" s="597"/>
      <c r="G539" s="1532" t="str">
        <f t="shared" si="119"/>
        <v/>
      </c>
      <c r="H539" s="1533"/>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0"/>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0"/>
      <c r="AC539" s="603" t="b">
        <f>AND(AC531,Y539&lt;&gt;EUconst_NA)</f>
        <v>0</v>
      </c>
      <c r="AD539" s="30"/>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0"/>
      <c r="AV539" s="613" t="b">
        <f t="shared" si="122"/>
        <v>0</v>
      </c>
      <c r="AW539" s="614" t="b">
        <f t="shared" si="123"/>
        <v>0</v>
      </c>
      <c r="AX539" s="30"/>
      <c r="AY539" s="579" t="b">
        <f t="shared" si="124"/>
        <v>0</v>
      </c>
      <c r="AZ539" s="580"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80" t="b">
        <f>OR(BZ531,Y539=EUconst_NA)</f>
        <v>1</v>
      </c>
    </row>
    <row r="540" spans="1:78" s="142" customFormat="1" ht="5.0999999999999996" hidden="1" customHeight="1" thickBot="1">
      <c r="A540" s="808"/>
      <c r="B540" s="166"/>
      <c r="C540" s="166"/>
      <c r="D540" s="180"/>
      <c r="O540" s="733"/>
      <c r="P540" s="33"/>
      <c r="Q540" s="33"/>
      <c r="R540" s="33"/>
      <c r="S540" s="174"/>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hidden="1" customHeight="1" thickBot="1">
      <c r="A541" s="808"/>
      <c r="B541" s="166"/>
      <c r="C541" s="166"/>
      <c r="D541" s="1558" t="str">
        <f>Translations!$B$674</f>
        <v>Pakopos galioja nuo:</v>
      </c>
      <c r="E541" s="1558"/>
      <c r="F541" s="1559"/>
      <c r="G541" s="1052"/>
      <c r="H541" s="615" t="str">
        <f>Translations!$B$675</f>
        <v>iki:</v>
      </c>
      <c r="I541" s="1052"/>
      <c r="J541" s="1536" t="str">
        <f>Translations!$B$676</f>
        <v>Atliekų katalogo numeris (jeigu taikytina):</v>
      </c>
      <c r="K541" s="1537"/>
      <c r="L541" s="1537"/>
      <c r="M541" s="1538"/>
      <c r="N541" s="1289"/>
      <c r="O541" s="733"/>
      <c r="P541" s="33"/>
      <c r="Q541" s="33"/>
      <c r="R541" s="33"/>
      <c r="S541" s="1290"/>
      <c r="T541" s="492"/>
      <c r="U541" s="492"/>
      <c r="V541" s="48" t="b">
        <f>IF(V531="",FALSE,INDEX(CNTR_IsWaste,MATCH(V531,MSParameters!$A$218:$A$376,0)))</f>
        <v>0</v>
      </c>
      <c r="W541" s="1290"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hidden="1" customHeight="1" thickBot="1">
      <c r="A542" s="808"/>
      <c r="B542" s="166"/>
      <c r="C542" s="166"/>
      <c r="D542" s="615"/>
      <c r="E542" s="495"/>
      <c r="F542" s="495"/>
      <c r="G542" s="495"/>
      <c r="H542" s="495"/>
      <c r="I542" s="495"/>
      <c r="J542" s="495"/>
      <c r="K542" s="495"/>
      <c r="L542" s="495"/>
      <c r="M542" s="495"/>
      <c r="N542" s="495"/>
      <c r="O542" s="733"/>
      <c r="P542" s="33"/>
      <c r="Q542" s="33"/>
      <c r="R542" s="33"/>
      <c r="S542" s="174"/>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hidden="1" customHeight="1" thickBot="1">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3"/>
      <c r="Q543" s="33"/>
      <c r="R543" s="33"/>
      <c r="S543" s="174"/>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hidden="1" customHeight="1" thickBot="1">
      <c r="A544" s="815"/>
      <c r="D544" s="180"/>
      <c r="O544" s="573"/>
      <c r="P544" s="497"/>
      <c r="Q544" s="497"/>
      <c r="R544" s="497"/>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ht="13.5" hidden="1" thickBot="1">
      <c r="A545" s="815"/>
      <c r="D545" s="1534" t="str">
        <f>Translations!$B$160</f>
        <v>Pastabos:</v>
      </c>
      <c r="E545" s="1535"/>
      <c r="F545" s="1539"/>
      <c r="G545" s="1540"/>
      <c r="H545" s="1540"/>
      <c r="I545" s="1540"/>
      <c r="J545" s="1540"/>
      <c r="K545" s="1540"/>
      <c r="L545" s="1540"/>
      <c r="M545" s="1540"/>
      <c r="N545" s="1541"/>
      <c r="O545" s="573"/>
      <c r="P545" s="497"/>
      <c r="Q545" s="497"/>
      <c r="R545" s="497"/>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c r="A546" s="808"/>
      <c r="B546" s="495"/>
      <c r="C546" s="499"/>
      <c r="D546" s="500"/>
      <c r="E546" s="501"/>
      <c r="F546" s="499"/>
      <c r="G546" s="502"/>
      <c r="H546" s="502"/>
      <c r="I546" s="502"/>
      <c r="J546" s="502"/>
      <c r="K546" s="502"/>
      <c r="L546" s="502"/>
      <c r="M546" s="502"/>
      <c r="N546" s="502"/>
      <c r="O546" s="740"/>
      <c r="P546" s="494"/>
      <c r="Q546" s="494"/>
      <c r="R546" s="494"/>
      <c r="S546" s="58"/>
      <c r="T546" s="58"/>
      <c r="U546" s="498"/>
      <c r="V546" s="58"/>
      <c r="W546" s="58"/>
      <c r="X546" s="49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c r="A547" s="813"/>
      <c r="B547" s="495"/>
      <c r="C547" s="495"/>
      <c r="D547" s="180"/>
      <c r="E547" s="496"/>
      <c r="F547" s="495"/>
      <c r="G547" s="487"/>
      <c r="H547" s="487"/>
      <c r="I547" s="487"/>
      <c r="J547" s="487"/>
      <c r="K547" s="495"/>
      <c r="L547" s="487"/>
      <c r="M547" s="487"/>
      <c r="N547" s="487"/>
      <c r="O547" s="740"/>
      <c r="P547" s="494"/>
      <c r="Q547" s="494"/>
      <c r="R547" s="494"/>
      <c r="S547" s="23"/>
      <c r="T547" s="27" t="str">
        <f>IF(ISBLANK(E548),"",MATCH(E548,CNTR_SourceStreamNames,0))</f>
        <v/>
      </c>
      <c r="U547" s="618"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1"/>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3" t="s">
        <v>262</v>
      </c>
    </row>
    <row r="548" spans="1:78" s="142" customFormat="1" ht="15" hidden="1" customHeight="1" thickBot="1">
      <c r="A548" s="869" t="str">
        <f>IF(E548="","","PRINT")</f>
        <v/>
      </c>
      <c r="B548" s="166"/>
      <c r="C548" s="617">
        <f>C521+1</f>
        <v>19</v>
      </c>
      <c r="D548" s="166"/>
      <c r="E548" s="1542"/>
      <c r="F548" s="1543"/>
      <c r="G548" s="1543"/>
      <c r="H548" s="1543"/>
      <c r="I548" s="1543"/>
      <c r="J548" s="1544"/>
      <c r="K548" s="1545" t="str">
        <f>IF(E549="","",INDEX(EUwideConstants!$F$353:$F$394,MATCH(E549,EUConst_TierActivityListNames,0)))</f>
        <v/>
      </c>
      <c r="L548" s="1546"/>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3"/>
      <c r="T548" s="509" t="s">
        <v>393</v>
      </c>
      <c r="U548" s="23"/>
      <c r="V548" s="78"/>
      <c r="W548" s="56"/>
      <c r="X548" s="58"/>
      <c r="Y548" s="58"/>
      <c r="Z548" s="58"/>
      <c r="AA548" s="58"/>
      <c r="AB548" s="58"/>
      <c r="AC548" s="58"/>
      <c r="AD548" s="58"/>
      <c r="AE548" s="58"/>
      <c r="AF548" s="58"/>
      <c r="AG548" s="58"/>
      <c r="AH548" s="58"/>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6"/>
      <c r="BZ548" s="619" t="b">
        <f>CNTR_CalcRelevant=EUconst_NotRelevant</f>
        <v>0</v>
      </c>
    </row>
    <row r="549" spans="1:78" s="142" customFormat="1" ht="15" hidden="1" customHeight="1" thickBot="1">
      <c r="A549" s="808"/>
      <c r="B549" s="166"/>
      <c r="C549" s="166"/>
      <c r="D549" s="166"/>
      <c r="E549" s="1547" t="str">
        <f>IF(ISBLANK(E548),"",IF(INDEX(B_InstallationDescription!$E$71:$E$145,MATCH(U547,B_InstallationDescription!$D$71:$D$145,0))&gt;0,INDEX(B_InstallationDescription!$E$71:$E$145,MATCH(U547,B_InstallationDescription!$D$71:$D$145,0)),""))</f>
        <v/>
      </c>
      <c r="F549" s="1548"/>
      <c r="G549" s="1548"/>
      <c r="H549" s="1548"/>
      <c r="I549" s="1548"/>
      <c r="J549" s="1549"/>
      <c r="M549" s="346" t="str">
        <f>Translations!$B$666</f>
        <v>CO2, biomasės kilmės.:</v>
      </c>
      <c r="N549" s="1051" t="str">
        <f>IF(OR(K548="",T549=TRUE),"",INDEX(BC561:BE561,MATCH(K548,BC558:BE558,0)))</f>
        <v/>
      </c>
      <c r="O549" s="742" t="s">
        <v>260</v>
      </c>
      <c r="P549" s="494"/>
      <c r="Q549" s="352" t="str">
        <f>EUconst_SumBioCO2 &amp; "_" &amp; K548</f>
        <v>SUM_bioCO2_</v>
      </c>
      <c r="R549" s="494"/>
      <c r="S549" s="23"/>
      <c r="T549" s="48" t="str">
        <f>IF(E549="","",MATCH(E549,EUConst_TierActivityListNames,0)&gt;40)</f>
        <v/>
      </c>
      <c r="U549" s="23"/>
      <c r="V549" s="78"/>
      <c r="W549" s="56"/>
      <c r="X549" s="58"/>
      <c r="Y549" s="27" t="s">
        <v>93</v>
      </c>
      <c r="Z549" s="30"/>
      <c r="AA549" s="30"/>
      <c r="AB549" s="30"/>
      <c r="AC549" s="30"/>
      <c r="AD549" s="30"/>
      <c r="AE549" s="27" t="s">
        <v>302</v>
      </c>
      <c r="AF549" s="58"/>
      <c r="AG549" s="504"/>
      <c r="AH549" s="30"/>
      <c r="AI549" s="30"/>
      <c r="AJ549" s="504"/>
      <c r="AK549" s="504"/>
      <c r="AL549" s="342"/>
      <c r="AM549" s="27" t="s">
        <v>308</v>
      </c>
      <c r="AN549" s="505"/>
      <c r="AO549" s="505"/>
      <c r="AP549" s="30"/>
      <c r="AQ549" s="30"/>
      <c r="AR549" s="30"/>
      <c r="AS549" s="30"/>
      <c r="AT549" s="30"/>
      <c r="AU549" s="30"/>
      <c r="AV549" s="27" t="s">
        <v>315</v>
      </c>
      <c r="AW549" s="30"/>
      <c r="AX549" s="492"/>
      <c r="AY549" s="30"/>
      <c r="AZ549" s="30"/>
      <c r="BA549" s="30"/>
      <c r="BB549" s="27" t="s">
        <v>219</v>
      </c>
      <c r="BC549" s="30"/>
      <c r="BD549" s="30"/>
      <c r="BE549" s="30"/>
      <c r="BF549" s="30"/>
      <c r="BG549" s="27"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0"/>
      <c r="BZ549" s="30"/>
    </row>
    <row r="550" spans="1:78" s="142" customFormat="1" ht="5.0999999999999996" hidden="1" customHeight="1" thickBot="1">
      <c r="A550" s="808"/>
      <c r="B550" s="166"/>
      <c r="C550" s="166"/>
      <c r="D550" s="166"/>
      <c r="E550" s="166"/>
      <c r="F550" s="166"/>
      <c r="G550" s="166"/>
      <c r="M550" s="143"/>
      <c r="N550" s="143"/>
      <c r="O550" s="733"/>
      <c r="P550" s="33"/>
      <c r="Q550" s="33"/>
      <c r="R550" s="33"/>
      <c r="S550" s="23"/>
      <c r="T550" s="23"/>
      <c r="U550" s="23"/>
      <c r="V550" s="78"/>
      <c r="W550" s="30"/>
      <c r="X550" s="30"/>
      <c r="Y550" s="494"/>
      <c r="Z550" s="30"/>
      <c r="AA550" s="30"/>
      <c r="AB550" s="30"/>
      <c r="AC550" s="30"/>
      <c r="AD550" s="30"/>
      <c r="AE550" s="30"/>
      <c r="AF550" s="58"/>
      <c r="AG550" s="30"/>
      <c r="AH550" s="30"/>
      <c r="AI550" s="30"/>
      <c r="AJ550" s="504"/>
      <c r="AK550" s="504"/>
      <c r="AL550" s="342"/>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hidden="1" customHeight="1" thickBot="1">
      <c r="A551" s="808"/>
      <c r="B551" s="166"/>
      <c r="C551" s="166"/>
      <c r="D551" s="166"/>
      <c r="E551" s="1550" t="str">
        <f>IF(E548="","",IF(T549=TRUE,HYPERLINK("#JUMP_14",EUconst_MsgGoOnPFC),HYPERLINK("#JUMP_E_8",EUconst_FurtherGuidancePoint1)))</f>
        <v/>
      </c>
      <c r="F551" s="1550"/>
      <c r="G551" s="1550"/>
      <c r="H551" s="1550"/>
      <c r="I551" s="1550"/>
      <c r="J551" s="1550"/>
      <c r="K551" s="1550"/>
      <c r="L551" s="1550"/>
      <c r="M551" s="1550"/>
      <c r="N551" s="143"/>
      <c r="O551" s="733"/>
      <c r="P551" s="33"/>
      <c r="Q551" s="352" t="str">
        <f>EUconst_SumNonSustBioCO2 &amp; "_" &amp; K548</f>
        <v>SUM_bioNonSustCO2_</v>
      </c>
      <c r="R551" s="707"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4"/>
      <c r="AK551" s="504"/>
      <c r="AL551" s="342"/>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hidden="1" customHeight="1" thickBot="1">
      <c r="A552" s="808"/>
      <c r="B552" s="166"/>
      <c r="C552" s="166"/>
      <c r="D552" s="166"/>
      <c r="E552" s="166"/>
      <c r="F552" s="166"/>
      <c r="G552" s="166"/>
      <c r="M552" s="143"/>
      <c r="N552" s="143"/>
      <c r="O552" s="733"/>
      <c r="P552" s="23"/>
      <c r="Q552" s="23"/>
      <c r="R552" s="23"/>
      <c r="S552" s="23"/>
      <c r="T552" s="23"/>
      <c r="U552" s="23"/>
      <c r="V552" s="30"/>
      <c r="W552" s="30"/>
      <c r="X552" s="30"/>
      <c r="Y552" s="494"/>
      <c r="Z552" s="30"/>
      <c r="AA552" s="30"/>
      <c r="AB552" s="30"/>
      <c r="AC552" s="30"/>
      <c r="AD552" s="30"/>
      <c r="AE552" s="30"/>
      <c r="AF552" s="58"/>
      <c r="AG552" s="30"/>
      <c r="AH552" s="30"/>
      <c r="AI552" s="30"/>
      <c r="AJ552" s="504"/>
      <c r="AK552" s="504"/>
      <c r="AL552" s="342"/>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hidden="1" customHeight="1" thickBot="1">
      <c r="A553" s="808"/>
      <c r="B553" s="166"/>
      <c r="C553" s="814" t="s">
        <v>4</v>
      </c>
      <c r="D553" s="512" t="str">
        <f>Translations!$B$622</f>
        <v>VD:</v>
      </c>
      <c r="E553" s="1560" t="str">
        <f>Translations!$B$667</f>
        <v>Ar veiklos duomenys gaunami sudedant išmatuotus kiekius (t. y. ne atliekant nuolatinius matavimus)?</v>
      </c>
      <c r="F553" s="1560"/>
      <c r="G553" s="1560"/>
      <c r="H553" s="1560"/>
      <c r="I553" s="1560"/>
      <c r="J553" s="1560"/>
      <c r="K553" s="1560"/>
      <c r="L553" s="1179"/>
      <c r="M553" s="507"/>
      <c r="O553" s="733"/>
      <c r="P553" s="23"/>
      <c r="Q553" s="23"/>
      <c r="R553" s="23"/>
      <c r="S553" s="23"/>
      <c r="T553" s="23"/>
      <c r="U553" s="23"/>
      <c r="V553" s="30"/>
      <c r="W553" s="30"/>
      <c r="X553" s="30"/>
      <c r="Y553" s="494"/>
      <c r="Z553" s="30"/>
      <c r="AA553" s="30"/>
      <c r="AB553" s="30"/>
      <c r="AC553" s="1172" t="b">
        <f>AND(E548&lt;&gt;"",T549&lt;&gt;TRUE)</f>
        <v>0</v>
      </c>
      <c r="AD553" s="30"/>
      <c r="AE553" s="30"/>
      <c r="AF553" s="58"/>
      <c r="AG553" s="30"/>
      <c r="AH553" s="30"/>
      <c r="AI553" s="30"/>
      <c r="AJ553" s="504"/>
      <c r="AK553" s="504"/>
      <c r="AL553" s="342"/>
      <c r="AM553" s="30"/>
      <c r="AN553" s="30"/>
      <c r="AO553" s="30"/>
      <c r="AP553" s="30"/>
      <c r="AQ553" s="30"/>
      <c r="AR553" s="30"/>
      <c r="AS553" s="30"/>
      <c r="AT553" s="1172"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2" t="b">
        <f>OR(CNTR_CalcRelevant=EUconst_NotRelevant,AND(COUNTA(CNTR_ListRelevantSections)&gt;0,OR(T549=TRUE,E548="")))</f>
        <v>1</v>
      </c>
    </row>
    <row r="554" spans="1:78" s="142" customFormat="1" ht="5.0999999999999996" hidden="1" customHeight="1" thickBot="1">
      <c r="A554" s="808"/>
      <c r="B554" s="166"/>
      <c r="C554" s="166"/>
      <c r="D554" s="166"/>
      <c r="E554" s="166"/>
      <c r="F554" s="166"/>
      <c r="G554" s="166"/>
      <c r="H554" s="495"/>
      <c r="I554" s="495"/>
      <c r="J554" s="495"/>
      <c r="K554" s="495"/>
      <c r="L554" s="495"/>
      <c r="M554" s="507"/>
      <c r="O554" s="733"/>
      <c r="P554" s="23"/>
      <c r="Q554" s="23"/>
      <c r="R554" s="23"/>
      <c r="S554" s="23"/>
      <c r="T554" s="23"/>
      <c r="U554" s="23"/>
      <c r="V554" s="30"/>
      <c r="W554" s="30"/>
      <c r="X554" s="30"/>
      <c r="Y554" s="494"/>
      <c r="Z554" s="30"/>
      <c r="AA554" s="30"/>
      <c r="AB554" s="30"/>
      <c r="AC554" s="492"/>
      <c r="AD554" s="30"/>
      <c r="AE554" s="30"/>
      <c r="AF554" s="58"/>
      <c r="AG554" s="30"/>
      <c r="AH554" s="30"/>
      <c r="AI554" s="30"/>
      <c r="AJ554" s="504"/>
      <c r="AK554" s="504"/>
      <c r="AL554" s="342"/>
      <c r="AM554" s="30"/>
      <c r="AN554" s="30"/>
      <c r="AO554" s="30"/>
      <c r="AP554" s="30"/>
      <c r="AQ554" s="30"/>
      <c r="AR554" s="30"/>
      <c r="AS554" s="30"/>
      <c r="AT554" s="492"/>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2"/>
    </row>
    <row r="555" spans="1:78" s="142" customFormat="1" ht="12.75" hidden="1" customHeight="1" thickBot="1">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3"/>
      <c r="Q555" s="23"/>
      <c r="R555" s="23"/>
      <c r="S555" s="23"/>
      <c r="T555" s="23"/>
      <c r="U555" s="23"/>
      <c r="V555" s="30"/>
      <c r="W555" s="30"/>
      <c r="X555" s="30"/>
      <c r="Y555" s="494"/>
      <c r="Z555" s="30"/>
      <c r="AA555" s="30"/>
      <c r="AB555" s="30"/>
      <c r="AC555" s="1172" t="b">
        <f>AC553</f>
        <v>0</v>
      </c>
      <c r="AD555" s="30"/>
      <c r="AE555" s="30"/>
      <c r="AF555" s="58"/>
      <c r="AG555" s="30"/>
      <c r="AH555" s="30"/>
      <c r="AI555" s="30"/>
      <c r="AJ555" s="504"/>
      <c r="AK555" s="504"/>
      <c r="AL555" s="342"/>
      <c r="AM555" s="30"/>
      <c r="AN555" s="30"/>
      <c r="AO555" s="30"/>
      <c r="AP555" s="30"/>
      <c r="AQ555" s="30"/>
      <c r="AR555" s="30"/>
      <c r="AS555" s="30"/>
      <c r="AT555" s="1172"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2" t="b">
        <f>OR(BZ553,AND(NOT(ISBLANK(L553)),L553=FALSE))</f>
        <v>1</v>
      </c>
    </row>
    <row r="556" spans="1:78" s="142" customFormat="1" ht="5.0999999999999996" hidden="1" customHeight="1" thickBot="1">
      <c r="A556" s="808"/>
      <c r="B556" s="166"/>
      <c r="C556" s="166"/>
      <c r="D556" s="166"/>
      <c r="E556" s="166"/>
      <c r="F556" s="166"/>
      <c r="G556" s="166"/>
      <c r="M556" s="143"/>
      <c r="N556" s="143"/>
      <c r="O556" s="733"/>
      <c r="P556" s="23"/>
      <c r="Q556" s="23"/>
      <c r="R556" s="23"/>
      <c r="S556" s="23"/>
      <c r="T556" s="23"/>
      <c r="U556" s="23"/>
      <c r="V556" s="30"/>
      <c r="W556" s="30"/>
      <c r="X556" s="30"/>
      <c r="Y556" s="494"/>
      <c r="Z556" s="30"/>
      <c r="AA556" s="30"/>
      <c r="AB556" s="30"/>
      <c r="AC556" s="30"/>
      <c r="AD556" s="30"/>
      <c r="AE556" s="30"/>
      <c r="AF556" s="58"/>
      <c r="AG556" s="30"/>
      <c r="AH556" s="30"/>
      <c r="AI556" s="30"/>
      <c r="AJ556" s="504"/>
      <c r="AK556" s="504"/>
      <c r="AL556" s="342"/>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hidden="1" customHeight="1" thickBot="1">
      <c r="A557" s="808"/>
      <c r="B557" s="166"/>
      <c r="C557" s="166"/>
      <c r="D557" s="166"/>
      <c r="E557" s="166"/>
      <c r="F557" s="506" t="str">
        <f>Translations!$B$333</f>
        <v>Pakopa</v>
      </c>
      <c r="G557" s="1557" t="str">
        <f>Translations!$B$672</f>
        <v>pakopos aprašas</v>
      </c>
      <c r="H557" s="1557"/>
      <c r="I557" s="1555" t="str">
        <f>Translations!$B$158</f>
        <v>Vienetas</v>
      </c>
      <c r="J557" s="1555"/>
      <c r="K557" s="1555" t="str">
        <f>Translations!$B$673</f>
        <v>Vertė</v>
      </c>
      <c r="L557" s="1555"/>
      <c r="M557" s="507" t="str">
        <f>Translations!$B$610</f>
        <v>klaida</v>
      </c>
      <c r="O557" s="733"/>
      <c r="P557" s="508"/>
      <c r="Q557" s="352" t="str">
        <f>EUconst_SumEnergyIN &amp; "_" &amp; K548</f>
        <v>SUM_EnergyIN_</v>
      </c>
      <c r="R557" s="399" t="str">
        <f>IF(OR(K548="",T549)=TRUE,"",INDEX(BC563:BE563,MATCH(K548,BC558:BE558,0)))</f>
        <v/>
      </c>
      <c r="S557" s="30"/>
      <c r="T557" s="489"/>
      <c r="U557" s="30"/>
      <c r="V557" s="509" t="s">
        <v>303</v>
      </c>
      <c r="W557" s="30"/>
      <c r="X557" s="30"/>
      <c r="Y557" s="494" t="s">
        <v>566</v>
      </c>
      <c r="Z557" s="494" t="s">
        <v>318</v>
      </c>
      <c r="AA557" s="30"/>
      <c r="AB557" s="30"/>
      <c r="AC557" s="505" t="s">
        <v>309</v>
      </c>
      <c r="AD557" s="30"/>
      <c r="AE557" s="30"/>
      <c r="AF557" s="492" t="s">
        <v>305</v>
      </c>
      <c r="AG557" s="492" t="s">
        <v>306</v>
      </c>
      <c r="AH557" s="494" t="s">
        <v>304</v>
      </c>
      <c r="AI557" s="504" t="s">
        <v>307</v>
      </c>
      <c r="AJ557" s="504" t="s">
        <v>567</v>
      </c>
      <c r="AK557" s="510" t="s">
        <v>311</v>
      </c>
      <c r="AL557" s="342"/>
      <c r="AM557" s="30"/>
      <c r="AN557" s="492" t="s">
        <v>305</v>
      </c>
      <c r="AO557" s="492" t="s">
        <v>306</v>
      </c>
      <c r="AP557" s="511" t="s">
        <v>310</v>
      </c>
      <c r="AQ557" s="504" t="s">
        <v>569</v>
      </c>
      <c r="AR557" s="504" t="s">
        <v>568</v>
      </c>
      <c r="AS557" s="510" t="s">
        <v>311</v>
      </c>
      <c r="AT557" s="510" t="s">
        <v>311</v>
      </c>
      <c r="AU557" s="30"/>
      <c r="AV557" s="492"/>
      <c r="AW557" s="492"/>
      <c r="AX557" s="492" t="s">
        <v>321</v>
      </c>
      <c r="AY557" s="492"/>
      <c r="AZ557" s="492"/>
      <c r="BA557" s="492"/>
      <c r="BB557" s="492"/>
      <c r="BC557" s="492"/>
      <c r="BD557" s="492"/>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3" t="s">
        <v>262</v>
      </c>
    </row>
    <row r="558" spans="1:78" s="142" customFormat="1" ht="12.75" hidden="1" customHeight="1" thickBot="1">
      <c r="A558" s="808"/>
      <c r="B558" s="166"/>
      <c r="C558" s="777" t="s">
        <v>196</v>
      </c>
      <c r="D558" s="512" t="str">
        <f>Translations!$B$622</f>
        <v>VD:</v>
      </c>
      <c r="E558" s="513"/>
      <c r="F558" s="402"/>
      <c r="G558" s="1532" t="str">
        <f>IF(OR(ISBLANK(F558),F558=EUconst_NoTier),"",IF(Z558=0,EUconst_NA,IF(ISERROR(Z558),"",Z558)))</f>
        <v/>
      </c>
      <c r="H558" s="1533"/>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0"/>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0"/>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0"/>
      <c r="AV558" s="492" t="s">
        <v>314</v>
      </c>
      <c r="AW558" s="492" t="s">
        <v>319</v>
      </c>
      <c r="AX558" s="524"/>
      <c r="AY558" s="30" t="s">
        <v>542</v>
      </c>
      <c r="AZ558" s="30"/>
      <c r="BA558" s="30"/>
      <c r="BB558" s="504"/>
      <c r="BC558" s="493" t="str">
        <f>EUconst_Fuel</f>
        <v>Degimas</v>
      </c>
      <c r="BD558" s="493" t="str">
        <f>EUconst_ProcessCarbonate</f>
        <v>Proceso metu išsiskiriančios ŠESD</v>
      </c>
      <c r="BE558" s="493"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4" t="b">
        <f>BZ553</f>
        <v>1</v>
      </c>
    </row>
    <row r="559" spans="1:78" s="142" customFormat="1" ht="5.0999999999999996" hidden="1" customHeight="1" thickBot="1">
      <c r="A559" s="808"/>
      <c r="B559" s="166"/>
      <c r="C559" s="814"/>
      <c r="D559" s="306"/>
      <c r="F559" s="143"/>
      <c r="G559" s="143"/>
      <c r="H559" s="143" t="s">
        <v>236</v>
      </c>
      <c r="I559" s="525"/>
      <c r="J559" s="525"/>
      <c r="K559" s="143"/>
      <c r="L559" s="143"/>
      <c r="M559" s="710"/>
      <c r="O559" s="733"/>
      <c r="P559" s="33"/>
      <c r="Q559" s="33"/>
      <c r="R559" s="33"/>
      <c r="S559" s="30"/>
      <c r="T559" s="155"/>
      <c r="U559" s="497"/>
      <c r="V559" s="30"/>
      <c r="W559" s="30"/>
      <c r="X559" s="497"/>
      <c r="Y559" s="526"/>
      <c r="Z559" s="30"/>
      <c r="AA559" s="30"/>
      <c r="AB559" s="30"/>
      <c r="AC559" s="30"/>
      <c r="AD559" s="30"/>
      <c r="AE559" s="30"/>
      <c r="AF559" s="30"/>
      <c r="AG559" s="30"/>
      <c r="AH559" s="30"/>
      <c r="AI559" s="30"/>
      <c r="AJ559" s="30"/>
      <c r="AK559" s="30"/>
      <c r="AL559" s="342"/>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3"/>
    </row>
    <row r="560" spans="1:78" s="142" customFormat="1" ht="12.75" hidden="1" customHeight="1" thickBot="1">
      <c r="A560" s="808"/>
      <c r="B560" s="166"/>
      <c r="C560" s="814" t="s">
        <v>197</v>
      </c>
      <c r="D560" s="512" t="str">
        <f>Translations!$B$634</f>
        <v>(prelim.) ITF:</v>
      </c>
      <c r="E560" s="513"/>
      <c r="F560" s="527"/>
      <c r="G560" s="1532" t="str">
        <f t="shared" ref="G560:G566" si="126">IF(OR(ISBLANK(F560),F560=EUconst_NoTier),"",IF(Z560=0,EUconst_NotApplicable,IF(ISERROR(Z560),"",Z560)))</f>
        <v/>
      </c>
      <c r="H560" s="1556"/>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3"/>
      <c r="Q560" s="33"/>
      <c r="R560" s="33"/>
      <c r="S560" s="30"/>
      <c r="T560" s="530" t="str">
        <f>EUconst_CNTR_EF&amp;E549</f>
        <v>EF_</v>
      </c>
      <c r="U560" s="497"/>
      <c r="V560" s="531" t="str">
        <f>V558</f>
        <v/>
      </c>
      <c r="W560" s="30"/>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0"/>
      <c r="AC560" s="535" t="b">
        <f>AND(AC558,Y560&lt;&gt;EUconst_NA)</f>
        <v>0</v>
      </c>
      <c r="AD560" s="30"/>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0"/>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0"/>
      <c r="BA560" s="30"/>
      <c r="BB560" s="547" t="s">
        <v>594</v>
      </c>
      <c r="BC560" s="546" t="str">
        <f>IF(K548=BC558,AR558*IF(AJ560=EUconst_tCO2pTJ,(AR561/1000),1)*AR560*AR562*AR566,"")</f>
        <v/>
      </c>
      <c r="BD560" s="524" t="str">
        <f>IF(K548=BD558,AR558*AR560*AR563*AR566,"")</f>
        <v/>
      </c>
      <c r="BE560" s="523"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1" t="b">
        <f>OR(BZ558,Y560=EUconst_NA)</f>
        <v>1</v>
      </c>
    </row>
    <row r="561" spans="1:78" s="142" customFormat="1" ht="12.75" hidden="1" customHeight="1" thickBot="1">
      <c r="A561" s="808"/>
      <c r="B561" s="166"/>
      <c r="C561" s="814" t="s">
        <v>198</v>
      </c>
      <c r="D561" s="512" t="str">
        <f>Translations!$B$636</f>
        <v>GŠV:</v>
      </c>
      <c r="E561" s="513"/>
      <c r="F561" s="548"/>
      <c r="G561" s="1532" t="str">
        <f t="shared" si="126"/>
        <v/>
      </c>
      <c r="H561" s="1533"/>
      <c r="I561" s="1169" t="str">
        <f>AJ561</f>
        <v/>
      </c>
      <c r="J561" s="549"/>
      <c r="K561" s="550" t="str">
        <f t="shared" si="127"/>
        <v/>
      </c>
      <c r="L561" s="551"/>
      <c r="M561" s="709" t="str">
        <f>IF(AND(E549&lt;&gt;"",OR(F561="",COUNT(K561:L561)=0),Y561&lt;&gt;EUconst_NA,T549&lt;&gt;TRUE),EUconst_ERR_Incomplete,IF(COUNTIF(AX561:AZ561,TRUE)&gt;0,EUconst_ERR_Inconsistent,""))</f>
        <v/>
      </c>
      <c r="O561" s="733"/>
      <c r="P561" s="33"/>
      <c r="Q561" s="33"/>
      <c r="R561" s="33"/>
      <c r="S561" s="30"/>
      <c r="T561" s="552" t="str">
        <f>EUconst_CNTR_NCV&amp;E549</f>
        <v>NCV_</v>
      </c>
      <c r="U561" s="497"/>
      <c r="V561" s="553" t="str">
        <f t="shared" ref="V561:V566" si="132">V560</f>
        <v/>
      </c>
      <c r="W561" s="30"/>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0"/>
      <c r="AC561" s="557" t="b">
        <f>AND(AC558,Y561&lt;&gt;EUconst_NA)</f>
        <v>0</v>
      </c>
      <c r="AD561" s="30"/>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0"/>
      <c r="AV561" s="567" t="b">
        <f t="shared" si="129"/>
        <v>0</v>
      </c>
      <c r="AW561" s="568" t="b">
        <f t="shared" si="130"/>
        <v>0</v>
      </c>
      <c r="AX561" s="30"/>
      <c r="AY561" s="553" t="b">
        <f t="shared" si="131"/>
        <v>0</v>
      </c>
      <c r="AZ561" s="30"/>
      <c r="BA561" s="30"/>
      <c r="BB561" s="547" t="s">
        <v>595</v>
      </c>
      <c r="BC561" s="546" t="str">
        <f>IF(K548=BC558,AR558*IF(AJ560=EUconst_tCO2pTJ,(AR561/1000),1)*AR560*AR562*AR565,"")</f>
        <v/>
      </c>
      <c r="BD561" s="524" t="str">
        <f>IF(K548=BD558,AR558*AR560*AR563*AR565,"")</f>
        <v/>
      </c>
      <c r="BE561" s="523"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3" t="b">
        <f>OR(BZ558,Y561=EUconst_NA)</f>
        <v>1</v>
      </c>
    </row>
    <row r="562" spans="1:78" s="142" customFormat="1" ht="12.75" hidden="1" customHeight="1" thickBot="1">
      <c r="A562" s="808"/>
      <c r="B562" s="166"/>
      <c r="C562" s="814" t="s">
        <v>199</v>
      </c>
      <c r="D562" s="512" t="str">
        <f>Translations!$B$638</f>
        <v>OksK:</v>
      </c>
      <c r="E562" s="513"/>
      <c r="F562" s="548"/>
      <c r="G562" s="1532" t="str">
        <f t="shared" si="126"/>
        <v/>
      </c>
      <c r="H562" s="1533"/>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3"/>
      <c r="Q562" s="33"/>
      <c r="R562" s="33"/>
      <c r="S562" s="30"/>
      <c r="T562" s="552" t="str">
        <f>EUconst_CNTR_OxidationFactor&amp;E549</f>
        <v>OxF_</v>
      </c>
      <c r="U562" s="497"/>
      <c r="V562" s="553" t="str">
        <f t="shared" si="132"/>
        <v/>
      </c>
      <c r="W562" s="30"/>
      <c r="X562" s="497"/>
      <c r="Y562" s="554" t="str">
        <f>IF(OR(T549=TRUE,E549=""),"",INDEX(EUwideConstants!$N:$N,MATCH(T562,EUwideConstants!$Q:$Q,0)))</f>
        <v/>
      </c>
      <c r="Z562" s="555" t="str">
        <f>IF(ISBLANK(F562),"",IF(F562=EUconst_NA,"",INDEX(EUwideConstants!$H:$M,MATCH(T562,EUwideConstants!$Q:$Q,0),MATCH(F562,CNTR_TierList,0))))</f>
        <v/>
      </c>
      <c r="AA562" s="534" t="str">
        <f>IF(F562=1,1,"")</f>
        <v/>
      </c>
      <c r="AB562" s="30"/>
      <c r="AC562" s="557" t="b">
        <f>AND(AC558,Y562&lt;&gt;EUconst_NA)</f>
        <v>0</v>
      </c>
      <c r="AD562" s="30"/>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0"/>
      <c r="AV562" s="567" t="b">
        <f t="shared" si="129"/>
        <v>0</v>
      </c>
      <c r="AW562" s="568" t="b">
        <f t="shared" si="130"/>
        <v>0</v>
      </c>
      <c r="AX562" s="30"/>
      <c r="AY562" s="594" t="b">
        <f t="shared" si="131"/>
        <v>0</v>
      </c>
      <c r="AZ562" s="531" t="b">
        <f>AR562&gt;100%</f>
        <v>0</v>
      </c>
      <c r="BA562" s="30"/>
      <c r="BB562" s="547" t="s">
        <v>290</v>
      </c>
      <c r="BC562" s="546" t="str">
        <f>IF(K548=BC558,AR558*IF(AJ560=EUconst_tCO2pTJ,(AR561/1000),1)*AR560*AR562*(1-AR565),"")</f>
        <v/>
      </c>
      <c r="BD562" s="524" t="str">
        <f>IF(K548=BD558,AR558*AR560*AR563*(1-AR565),"")</f>
        <v/>
      </c>
      <c r="BE562" s="523"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3" t="b">
        <f>OR(BZ558,Y562=EUconst_NA)</f>
        <v>1</v>
      </c>
    </row>
    <row r="563" spans="1:78" s="142" customFormat="1" ht="12.75" hidden="1" customHeight="1" thickBot="1">
      <c r="A563" s="808"/>
      <c r="B563" s="166"/>
      <c r="C563" s="814" t="s">
        <v>200</v>
      </c>
      <c r="D563" s="512" t="str">
        <f>Translations!$B$639</f>
        <v>KonvK:</v>
      </c>
      <c r="E563" s="513"/>
      <c r="F563" s="548"/>
      <c r="G563" s="1532" t="str">
        <f t="shared" si="126"/>
        <v/>
      </c>
      <c r="H563" s="1533"/>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3"/>
      <c r="Q563" s="33"/>
      <c r="R563" s="33"/>
      <c r="S563" s="30"/>
      <c r="T563" s="552" t="str">
        <f>EUconst_CNTR_ConversionFactor&amp;E549</f>
        <v>ConvF_</v>
      </c>
      <c r="U563" s="497"/>
      <c r="V563" s="553" t="str">
        <f t="shared" si="132"/>
        <v/>
      </c>
      <c r="W563" s="30"/>
      <c r="X563" s="497"/>
      <c r="Y563" s="554" t="str">
        <f>IF(OR(T549=TRUE,E549=""),"",INDEX(EUwideConstants!$N:$N,MATCH(T563,EUwideConstants!$Q:$Q,0)))</f>
        <v/>
      </c>
      <c r="Z563" s="555" t="str">
        <f>IF(ISBLANK(F563),"",IF(F563=EUconst_NA,"",INDEX(EUwideConstants!$H:$M,MATCH(T563,EUwideConstants!$Q:$Q,0),MATCH(F563,CNTR_TierList,0))))</f>
        <v/>
      </c>
      <c r="AA563" s="582" t="str">
        <f>IF(F563=1,1,"")</f>
        <v/>
      </c>
      <c r="AB563" s="30"/>
      <c r="AC563" s="557" t="b">
        <f>AND(AC558,Y563&lt;&gt;EUconst_NA)</f>
        <v>0</v>
      </c>
      <c r="AD563" s="30"/>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0"/>
      <c r="AV563" s="567" t="b">
        <f t="shared" si="129"/>
        <v>0</v>
      </c>
      <c r="AW563" s="568" t="b">
        <f t="shared" si="130"/>
        <v>0</v>
      </c>
      <c r="AX563" s="30"/>
      <c r="AY563" s="594" t="b">
        <f t="shared" si="131"/>
        <v>0</v>
      </c>
      <c r="AZ563" s="580" t="b">
        <f>AR563&gt;100%</f>
        <v>0</v>
      </c>
      <c r="BA563" s="30"/>
      <c r="BB563" s="578" t="s">
        <v>487</v>
      </c>
      <c r="BC563" s="579">
        <f>AR558*AR561/1000*(1-AR565)</f>
        <v>0</v>
      </c>
      <c r="BD563" s="580">
        <f>BC563</f>
        <v>0</v>
      </c>
      <c r="BE563" s="581">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3" t="b">
        <f>OR(BZ558,Y563=EUconst_NA)</f>
        <v>1</v>
      </c>
    </row>
    <row r="564" spans="1:78" s="142" customFormat="1" ht="12.75" hidden="1" customHeight="1" thickBot="1">
      <c r="A564" s="808"/>
      <c r="B564" s="166"/>
      <c r="C564" s="814" t="s">
        <v>329</v>
      </c>
      <c r="D564" s="512" t="str">
        <f>Translations!$B$640</f>
        <v>AnglK:</v>
      </c>
      <c r="E564" s="513"/>
      <c r="F564" s="548"/>
      <c r="G564" s="1532" t="str">
        <f t="shared" si="126"/>
        <v/>
      </c>
      <c r="H564" s="1533"/>
      <c r="I564" s="1170" t="str">
        <f>AJ564</f>
        <v/>
      </c>
      <c r="J564" s="586"/>
      <c r="K564" s="587" t="str">
        <f t="shared" si="127"/>
        <v/>
      </c>
      <c r="L564" s="588"/>
      <c r="M564" s="709" t="str">
        <f>IF(AND(E549&lt;&gt;"",OR(F564="",COUNT(K564:L564)=0),Y564&lt;&gt;EUconst_NA,T549&lt;&gt;TRUE),EUconst_ERR_Incomplete,IF(COUNTIF(AX564:AZ564,TRUE)&gt;0,EUconst_ERR_Inconsistent,""))</f>
        <v/>
      </c>
      <c r="O564" s="733"/>
      <c r="P564" s="33"/>
      <c r="Q564" s="33"/>
      <c r="R564" s="33"/>
      <c r="S564" s="30"/>
      <c r="T564" s="552" t="str">
        <f>EUconst_CNTR_CarbonContent&amp;E549</f>
        <v>CarbC_</v>
      </c>
      <c r="U564" s="497"/>
      <c r="V564" s="553" t="str">
        <f t="shared" si="132"/>
        <v/>
      </c>
      <c r="W564" s="30"/>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0"/>
      <c r="AC564" s="557" t="b">
        <f>AND(AC558,Y564&lt;&gt;EUconst_NA)</f>
        <v>0</v>
      </c>
      <c r="AD564" s="30"/>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0"/>
      <c r="AV564" s="567" t="b">
        <f t="shared" si="129"/>
        <v>0</v>
      </c>
      <c r="AW564" s="568" t="b">
        <f t="shared" si="130"/>
        <v>0</v>
      </c>
      <c r="AX564" s="546" t="b">
        <f>OR(AND(AJ558=EUconst_kNm3,AJ564=EUconst_tCpt),AND(AJ558=EUconst_t,AJ564=EUconst_tCpkNm3))</f>
        <v>0</v>
      </c>
      <c r="AY564" s="553" t="b">
        <f t="shared" si="131"/>
        <v>0</v>
      </c>
      <c r="AZ564" s="30"/>
      <c r="BA564" s="30"/>
      <c r="BB564" s="578" t="s">
        <v>488</v>
      </c>
      <c r="BC564" s="579">
        <f>AR558*AR561/1000*AR565</f>
        <v>0</v>
      </c>
      <c r="BD564" s="580">
        <f>BC564</f>
        <v>0</v>
      </c>
      <c r="BE564" s="581">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3" t="b">
        <f>OR(BZ558,Y564=EUconst_NA)</f>
        <v>1</v>
      </c>
    </row>
    <row r="565" spans="1:78" s="142" customFormat="1" ht="12.75" hidden="1" customHeight="1" thickBot="1">
      <c r="A565" s="808"/>
      <c r="B565" s="166"/>
      <c r="C565" s="777" t="s">
        <v>330</v>
      </c>
      <c r="D565" s="512" t="str">
        <f>Translations!$B$641</f>
        <v>BioC:</v>
      </c>
      <c r="E565" s="513"/>
      <c r="F565" s="548"/>
      <c r="G565" s="1532" t="str">
        <f t="shared" si="126"/>
        <v/>
      </c>
      <c r="H565" s="1533"/>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0"/>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0"/>
      <c r="AC565" s="557" t="b">
        <f>AND(AC558,Y565&lt;&gt;EUconst_NA)</f>
        <v>0</v>
      </c>
      <c r="AD565" s="30"/>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0"/>
      <c r="AV565" s="567" t="b">
        <f t="shared" si="129"/>
        <v>0</v>
      </c>
      <c r="AW565" s="568" t="b">
        <f t="shared" si="130"/>
        <v>0</v>
      </c>
      <c r="AX565" s="30"/>
      <c r="AY565" s="594" t="b">
        <f t="shared" si="131"/>
        <v>0</v>
      </c>
      <c r="AZ565" s="531"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3" t="b">
        <f>OR(BZ558,Y565=EUconst_NA)</f>
        <v>1</v>
      </c>
    </row>
    <row r="566" spans="1:78" s="142" customFormat="1" ht="12.75" hidden="1" customHeight="1" thickBot="1">
      <c r="A566" s="808"/>
      <c r="B566" s="166"/>
      <c r="C566" s="777" t="s">
        <v>454</v>
      </c>
      <c r="D566" s="512" t="str">
        <f>Translations!$B$647</f>
        <v>Netvar. BioC:</v>
      </c>
      <c r="E566" s="513"/>
      <c r="F566" s="597"/>
      <c r="G566" s="1532" t="str">
        <f t="shared" si="126"/>
        <v/>
      </c>
      <c r="H566" s="1533"/>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0"/>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0"/>
      <c r="AC566" s="603" t="b">
        <f>AND(AC558,Y566&lt;&gt;EUconst_NA)</f>
        <v>0</v>
      </c>
      <c r="AD566" s="30"/>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0"/>
      <c r="AV566" s="613" t="b">
        <f t="shared" si="129"/>
        <v>0</v>
      </c>
      <c r="AW566" s="614" t="b">
        <f t="shared" si="130"/>
        <v>0</v>
      </c>
      <c r="AX566" s="30"/>
      <c r="AY566" s="579" t="b">
        <f t="shared" si="131"/>
        <v>0</v>
      </c>
      <c r="AZ566" s="580"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80" t="b">
        <f>OR(BZ558,Y566=EUconst_NA)</f>
        <v>1</v>
      </c>
    </row>
    <row r="567" spans="1:78" s="142" customFormat="1" ht="5.0999999999999996" hidden="1" customHeight="1" thickBot="1">
      <c r="A567" s="808"/>
      <c r="B567" s="166"/>
      <c r="C567" s="166"/>
      <c r="D567" s="180"/>
      <c r="O567" s="733"/>
      <c r="P567" s="33"/>
      <c r="Q567" s="33"/>
      <c r="R567" s="33"/>
      <c r="S567" s="174"/>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hidden="1" customHeight="1" thickBot="1">
      <c r="A568" s="808"/>
      <c r="B568" s="166"/>
      <c r="C568" s="166"/>
      <c r="D568" s="1558" t="str">
        <f>Translations!$B$674</f>
        <v>Pakopos galioja nuo:</v>
      </c>
      <c r="E568" s="1558"/>
      <c r="F568" s="1559"/>
      <c r="G568" s="1052"/>
      <c r="H568" s="615" t="str">
        <f>Translations!$B$675</f>
        <v>iki:</v>
      </c>
      <c r="I568" s="1052"/>
      <c r="J568" s="1536" t="str">
        <f>Translations!$B$676</f>
        <v>Atliekų katalogo numeris (jeigu taikytina):</v>
      </c>
      <c r="K568" s="1537"/>
      <c r="L568" s="1537"/>
      <c r="M568" s="1538"/>
      <c r="N568" s="1289"/>
      <c r="O568" s="733"/>
      <c r="P568" s="33"/>
      <c r="Q568" s="33"/>
      <c r="R568" s="33"/>
      <c r="S568" s="1290"/>
      <c r="T568" s="492"/>
      <c r="U568" s="492"/>
      <c r="V568" s="48" t="b">
        <f>IF(V558="",FALSE,INDEX(CNTR_IsWaste,MATCH(V558,MSParameters!$A$218:$A$376,0)))</f>
        <v>0</v>
      </c>
      <c r="W568" s="1290"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hidden="1" customHeight="1" thickBot="1">
      <c r="A569" s="808"/>
      <c r="B569" s="166"/>
      <c r="C569" s="166"/>
      <c r="D569" s="615"/>
      <c r="E569" s="495"/>
      <c r="F569" s="495"/>
      <c r="G569" s="495"/>
      <c r="H569" s="495"/>
      <c r="I569" s="495"/>
      <c r="J569" s="495"/>
      <c r="K569" s="495"/>
      <c r="L569" s="495"/>
      <c r="M569" s="495"/>
      <c r="N569" s="495"/>
      <c r="O569" s="733"/>
      <c r="P569" s="33"/>
      <c r="Q569" s="33"/>
      <c r="R569" s="33"/>
      <c r="S569" s="174"/>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hidden="1" customHeight="1" thickBot="1">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3"/>
      <c r="Q570" s="33"/>
      <c r="R570" s="33"/>
      <c r="S570" s="174"/>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hidden="1" customHeight="1" thickBot="1">
      <c r="A571" s="815"/>
      <c r="D571" s="180"/>
      <c r="O571" s="573"/>
      <c r="P571" s="497"/>
      <c r="Q571" s="497"/>
      <c r="R571" s="497"/>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ht="13.5" hidden="1" thickBot="1">
      <c r="A572" s="815"/>
      <c r="D572" s="1534" t="str">
        <f>Translations!$B$160</f>
        <v>Pastabos:</v>
      </c>
      <c r="E572" s="1535"/>
      <c r="F572" s="1539"/>
      <c r="G572" s="1540"/>
      <c r="H572" s="1540"/>
      <c r="I572" s="1540"/>
      <c r="J572" s="1540"/>
      <c r="K572" s="1540"/>
      <c r="L572" s="1540"/>
      <c r="M572" s="1540"/>
      <c r="N572" s="1541"/>
      <c r="O572" s="573"/>
      <c r="P572" s="497"/>
      <c r="Q572" s="497"/>
      <c r="R572" s="497"/>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c r="A573" s="808"/>
      <c r="B573" s="495"/>
      <c r="C573" s="499"/>
      <c r="D573" s="500"/>
      <c r="E573" s="501"/>
      <c r="F573" s="499"/>
      <c r="G573" s="502"/>
      <c r="H573" s="502"/>
      <c r="I573" s="502"/>
      <c r="J573" s="502"/>
      <c r="K573" s="502"/>
      <c r="L573" s="502"/>
      <c r="M573" s="502"/>
      <c r="N573" s="502"/>
      <c r="O573" s="740"/>
      <c r="P573" s="494"/>
      <c r="Q573" s="494"/>
      <c r="R573" s="494"/>
      <c r="S573" s="58"/>
      <c r="T573" s="58"/>
      <c r="U573" s="498"/>
      <c r="V573" s="58"/>
      <c r="W573" s="58"/>
      <c r="X573" s="49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c r="A574" s="813"/>
      <c r="B574" s="495"/>
      <c r="C574" s="495"/>
      <c r="D574" s="180"/>
      <c r="E574" s="496"/>
      <c r="F574" s="495"/>
      <c r="G574" s="487"/>
      <c r="H574" s="487"/>
      <c r="I574" s="487"/>
      <c r="J574" s="487"/>
      <c r="K574" s="495"/>
      <c r="L574" s="487"/>
      <c r="M574" s="487"/>
      <c r="N574" s="487"/>
      <c r="O574" s="740"/>
      <c r="P574" s="494"/>
      <c r="Q574" s="494"/>
      <c r="R574" s="494"/>
      <c r="S574" s="23"/>
      <c r="T574" s="27" t="str">
        <f>IF(ISBLANK(E575),"",MATCH(E575,CNTR_SourceStreamNames,0))</f>
        <v/>
      </c>
      <c r="U574" s="618"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1"/>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3" t="s">
        <v>262</v>
      </c>
    </row>
    <row r="575" spans="1:78" s="142" customFormat="1" ht="15" hidden="1" customHeight="1" thickBot="1">
      <c r="A575" s="869" t="str">
        <f>IF(E575="","","PRINT")</f>
        <v/>
      </c>
      <c r="B575" s="166"/>
      <c r="C575" s="617">
        <f>C548+1</f>
        <v>20</v>
      </c>
      <c r="D575" s="166"/>
      <c r="E575" s="1542"/>
      <c r="F575" s="1543"/>
      <c r="G575" s="1543"/>
      <c r="H575" s="1543"/>
      <c r="I575" s="1543"/>
      <c r="J575" s="1544"/>
      <c r="K575" s="1545" t="str">
        <f>IF(E576="","",INDEX(EUwideConstants!$F$353:$F$394,MATCH(E576,EUConst_TierActivityListNames,0)))</f>
        <v/>
      </c>
      <c r="L575" s="1546"/>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3"/>
      <c r="T575" s="509" t="s">
        <v>393</v>
      </c>
      <c r="U575" s="23"/>
      <c r="V575" s="78"/>
      <c r="W575" s="56"/>
      <c r="X575" s="58"/>
      <c r="Y575" s="58"/>
      <c r="Z575" s="58"/>
      <c r="AA575" s="58"/>
      <c r="AB575" s="58"/>
      <c r="AC575" s="58"/>
      <c r="AD575" s="58"/>
      <c r="AE575" s="58"/>
      <c r="AF575" s="58"/>
      <c r="AG575" s="58"/>
      <c r="AH575" s="58"/>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6"/>
      <c r="BZ575" s="619" t="b">
        <f>CNTR_CalcRelevant=EUconst_NotRelevant</f>
        <v>0</v>
      </c>
    </row>
    <row r="576" spans="1:78" s="142" customFormat="1" ht="15" hidden="1" customHeight="1" thickBot="1">
      <c r="A576" s="808"/>
      <c r="B576" s="166"/>
      <c r="C576" s="166"/>
      <c r="D576" s="166"/>
      <c r="E576" s="1547" t="str">
        <f>IF(ISBLANK(E575),"",IF(INDEX(B_InstallationDescription!$E$71:$E$145,MATCH(U574,B_InstallationDescription!$D$71:$D$145,0))&gt;0,INDEX(B_InstallationDescription!$E$71:$E$145,MATCH(U574,B_InstallationDescription!$D$71:$D$145,0)),""))</f>
        <v/>
      </c>
      <c r="F576" s="1548"/>
      <c r="G576" s="1548"/>
      <c r="H576" s="1548"/>
      <c r="I576" s="1548"/>
      <c r="J576" s="1549"/>
      <c r="M576" s="346" t="str">
        <f>Translations!$B$666</f>
        <v>CO2, biomasės kilmės.:</v>
      </c>
      <c r="N576" s="1051" t="str">
        <f>IF(OR(K575="",T576=TRUE),"",INDEX(BC588:BE588,MATCH(K575,BC585:BE585,0)))</f>
        <v/>
      </c>
      <c r="O576" s="742" t="s">
        <v>260</v>
      </c>
      <c r="P576" s="494"/>
      <c r="Q576" s="352" t="str">
        <f>EUconst_SumBioCO2 &amp; "_" &amp; K575</f>
        <v>SUM_bioCO2_</v>
      </c>
      <c r="R576" s="494"/>
      <c r="S576" s="23"/>
      <c r="T576" s="48" t="str">
        <f>IF(E576="","",MATCH(E576,EUConst_TierActivityListNames,0)&gt;40)</f>
        <v/>
      </c>
      <c r="U576" s="23"/>
      <c r="V576" s="78"/>
      <c r="W576" s="56"/>
      <c r="X576" s="58"/>
      <c r="Y576" s="27" t="s">
        <v>93</v>
      </c>
      <c r="Z576" s="30"/>
      <c r="AA576" s="30"/>
      <c r="AB576" s="30"/>
      <c r="AC576" s="30"/>
      <c r="AD576" s="30"/>
      <c r="AE576" s="27" t="s">
        <v>302</v>
      </c>
      <c r="AF576" s="58"/>
      <c r="AG576" s="504"/>
      <c r="AH576" s="30"/>
      <c r="AI576" s="30"/>
      <c r="AJ576" s="504"/>
      <c r="AK576" s="504"/>
      <c r="AL576" s="342"/>
      <c r="AM576" s="27" t="s">
        <v>308</v>
      </c>
      <c r="AN576" s="505"/>
      <c r="AO576" s="505"/>
      <c r="AP576" s="30"/>
      <c r="AQ576" s="30"/>
      <c r="AR576" s="30"/>
      <c r="AS576" s="30"/>
      <c r="AT576" s="30"/>
      <c r="AU576" s="30"/>
      <c r="AV576" s="27" t="s">
        <v>315</v>
      </c>
      <c r="AW576" s="30"/>
      <c r="AX576" s="492"/>
      <c r="AY576" s="30"/>
      <c r="AZ576" s="30"/>
      <c r="BA576" s="30"/>
      <c r="BB576" s="27" t="s">
        <v>219</v>
      </c>
      <c r="BC576" s="30"/>
      <c r="BD576" s="30"/>
      <c r="BE576" s="30"/>
      <c r="BF576" s="30"/>
      <c r="BG576" s="27"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0"/>
      <c r="BZ576" s="30"/>
    </row>
    <row r="577" spans="1:78" s="142" customFormat="1" ht="5.0999999999999996" hidden="1" customHeight="1" thickBot="1">
      <c r="A577" s="808"/>
      <c r="B577" s="166"/>
      <c r="C577" s="166"/>
      <c r="D577" s="166"/>
      <c r="E577" s="166"/>
      <c r="F577" s="166"/>
      <c r="G577" s="166"/>
      <c r="M577" s="143"/>
      <c r="N577" s="143"/>
      <c r="O577" s="733"/>
      <c r="P577" s="33"/>
      <c r="Q577" s="33"/>
      <c r="R577" s="33"/>
      <c r="S577" s="23"/>
      <c r="T577" s="23"/>
      <c r="U577" s="23"/>
      <c r="V577" s="78"/>
      <c r="W577" s="30"/>
      <c r="X577" s="30"/>
      <c r="Y577" s="494"/>
      <c r="Z577" s="30"/>
      <c r="AA577" s="30"/>
      <c r="AB577" s="30"/>
      <c r="AC577" s="30"/>
      <c r="AD577" s="30"/>
      <c r="AE577" s="30"/>
      <c r="AF577" s="58"/>
      <c r="AG577" s="30"/>
      <c r="AH577" s="30"/>
      <c r="AI577" s="30"/>
      <c r="AJ577" s="504"/>
      <c r="AK577" s="504"/>
      <c r="AL577" s="342"/>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hidden="1" customHeight="1" thickBot="1">
      <c r="A578" s="808"/>
      <c r="B578" s="166"/>
      <c r="C578" s="166"/>
      <c r="D578" s="166"/>
      <c r="E578" s="1550" t="str">
        <f>IF(E575="","",IF(T576=TRUE,HYPERLINK("#JUMP_14",EUconst_MsgGoOnPFC),HYPERLINK("#JUMP_E_8",EUconst_FurtherGuidancePoint1)))</f>
        <v/>
      </c>
      <c r="F578" s="1550"/>
      <c r="G578" s="1550"/>
      <c r="H578" s="1550"/>
      <c r="I578" s="1550"/>
      <c r="J578" s="1550"/>
      <c r="K578" s="1550"/>
      <c r="L578" s="1550"/>
      <c r="M578" s="1550"/>
      <c r="N578" s="143"/>
      <c r="O578" s="733"/>
      <c r="P578" s="33"/>
      <c r="Q578" s="352" t="str">
        <f>EUconst_SumNonSustBioCO2 &amp; "_" &amp; K575</f>
        <v>SUM_bioNonSustCO2_</v>
      </c>
      <c r="R578" s="707"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4"/>
      <c r="AK578" s="504"/>
      <c r="AL578" s="342"/>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hidden="1" customHeight="1" thickBot="1">
      <c r="A579" s="808"/>
      <c r="B579" s="166"/>
      <c r="C579" s="166"/>
      <c r="D579" s="166"/>
      <c r="E579" s="166"/>
      <c r="F579" s="166"/>
      <c r="G579" s="166"/>
      <c r="M579" s="143"/>
      <c r="N579" s="143"/>
      <c r="O579" s="733"/>
      <c r="P579" s="23"/>
      <c r="Q579" s="23"/>
      <c r="R579" s="23"/>
      <c r="S579" s="23"/>
      <c r="T579" s="23"/>
      <c r="U579" s="23"/>
      <c r="V579" s="30"/>
      <c r="W579" s="30"/>
      <c r="X579" s="30"/>
      <c r="Y579" s="494"/>
      <c r="Z579" s="30"/>
      <c r="AA579" s="30"/>
      <c r="AB579" s="30"/>
      <c r="AC579" s="30"/>
      <c r="AD579" s="30"/>
      <c r="AE579" s="30"/>
      <c r="AF579" s="58"/>
      <c r="AG579" s="30"/>
      <c r="AH579" s="30"/>
      <c r="AI579" s="30"/>
      <c r="AJ579" s="504"/>
      <c r="AK579" s="504"/>
      <c r="AL579" s="342"/>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hidden="1" customHeight="1" thickBot="1">
      <c r="A580" s="808"/>
      <c r="B580" s="166"/>
      <c r="C580" s="814" t="s">
        <v>4</v>
      </c>
      <c r="D580" s="512" t="str">
        <f>Translations!$B$622</f>
        <v>VD:</v>
      </c>
      <c r="E580" s="1560" t="str">
        <f>Translations!$B$667</f>
        <v>Ar veiklos duomenys gaunami sudedant išmatuotus kiekius (t. y. ne atliekant nuolatinius matavimus)?</v>
      </c>
      <c r="F580" s="1560"/>
      <c r="G580" s="1560"/>
      <c r="H580" s="1560"/>
      <c r="I580" s="1560"/>
      <c r="J580" s="1560"/>
      <c r="K580" s="1560"/>
      <c r="L580" s="1179"/>
      <c r="M580" s="507"/>
      <c r="O580" s="733"/>
      <c r="P580" s="23"/>
      <c r="Q580" s="23"/>
      <c r="R580" s="23"/>
      <c r="S580" s="23"/>
      <c r="T580" s="23"/>
      <c r="U580" s="23"/>
      <c r="V580" s="30"/>
      <c r="W580" s="30"/>
      <c r="X580" s="30"/>
      <c r="Y580" s="494"/>
      <c r="Z580" s="30"/>
      <c r="AA580" s="30"/>
      <c r="AB580" s="30"/>
      <c r="AC580" s="1172" t="b">
        <f>AND(E575&lt;&gt;"",T576&lt;&gt;TRUE)</f>
        <v>0</v>
      </c>
      <c r="AD580" s="30"/>
      <c r="AE580" s="30"/>
      <c r="AF580" s="58"/>
      <c r="AG580" s="30"/>
      <c r="AH580" s="30"/>
      <c r="AI580" s="30"/>
      <c r="AJ580" s="504"/>
      <c r="AK580" s="504"/>
      <c r="AL580" s="342"/>
      <c r="AM580" s="30"/>
      <c r="AN580" s="30"/>
      <c r="AO580" s="30"/>
      <c r="AP580" s="30"/>
      <c r="AQ580" s="30"/>
      <c r="AR580" s="30"/>
      <c r="AS580" s="30"/>
      <c r="AT580" s="1172"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2" t="b">
        <f>OR(CNTR_CalcRelevant=EUconst_NotRelevant,AND(COUNTA(CNTR_ListRelevantSections)&gt;0,OR(T576=TRUE,E575="")))</f>
        <v>1</v>
      </c>
    </row>
    <row r="581" spans="1:78" s="142" customFormat="1" ht="5.0999999999999996" hidden="1" customHeight="1" thickBot="1">
      <c r="A581" s="808"/>
      <c r="B581" s="166"/>
      <c r="C581" s="166"/>
      <c r="D581" s="166"/>
      <c r="E581" s="166"/>
      <c r="F581" s="166"/>
      <c r="G581" s="166"/>
      <c r="H581" s="495"/>
      <c r="I581" s="495"/>
      <c r="J581" s="495"/>
      <c r="K581" s="495"/>
      <c r="L581" s="495"/>
      <c r="M581" s="507"/>
      <c r="O581" s="733"/>
      <c r="P581" s="23"/>
      <c r="Q581" s="23"/>
      <c r="R581" s="23"/>
      <c r="S581" s="23"/>
      <c r="T581" s="23"/>
      <c r="U581" s="23"/>
      <c r="V581" s="30"/>
      <c r="W581" s="30"/>
      <c r="X581" s="30"/>
      <c r="Y581" s="494"/>
      <c r="Z581" s="30"/>
      <c r="AA581" s="30"/>
      <c r="AB581" s="30"/>
      <c r="AC581" s="492"/>
      <c r="AD581" s="30"/>
      <c r="AE581" s="30"/>
      <c r="AF581" s="58"/>
      <c r="AG581" s="30"/>
      <c r="AH581" s="30"/>
      <c r="AI581" s="30"/>
      <c r="AJ581" s="504"/>
      <c r="AK581" s="504"/>
      <c r="AL581" s="342"/>
      <c r="AM581" s="30"/>
      <c r="AN581" s="30"/>
      <c r="AO581" s="30"/>
      <c r="AP581" s="30"/>
      <c r="AQ581" s="30"/>
      <c r="AR581" s="30"/>
      <c r="AS581" s="30"/>
      <c r="AT581" s="492"/>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2"/>
    </row>
    <row r="582" spans="1:78" s="142" customFormat="1" ht="12.75" hidden="1" customHeight="1" thickBot="1">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3"/>
      <c r="Q582" s="23"/>
      <c r="R582" s="23"/>
      <c r="S582" s="23"/>
      <c r="T582" s="23"/>
      <c r="U582" s="23"/>
      <c r="V582" s="30"/>
      <c r="W582" s="30"/>
      <c r="X582" s="30"/>
      <c r="Y582" s="494"/>
      <c r="Z582" s="30"/>
      <c r="AA582" s="30"/>
      <c r="AB582" s="30"/>
      <c r="AC582" s="1172" t="b">
        <f>AC580</f>
        <v>0</v>
      </c>
      <c r="AD582" s="30"/>
      <c r="AE582" s="30"/>
      <c r="AF582" s="58"/>
      <c r="AG582" s="30"/>
      <c r="AH582" s="30"/>
      <c r="AI582" s="30"/>
      <c r="AJ582" s="504"/>
      <c r="AK582" s="504"/>
      <c r="AL582" s="342"/>
      <c r="AM582" s="30"/>
      <c r="AN582" s="30"/>
      <c r="AO582" s="30"/>
      <c r="AP582" s="30"/>
      <c r="AQ582" s="30"/>
      <c r="AR582" s="30"/>
      <c r="AS582" s="30"/>
      <c r="AT582" s="1172"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2" t="b">
        <f>OR(BZ580,AND(NOT(ISBLANK(L580)),L580=FALSE))</f>
        <v>1</v>
      </c>
    </row>
    <row r="583" spans="1:78" s="142" customFormat="1" ht="5.0999999999999996" hidden="1" customHeight="1" thickBot="1">
      <c r="A583" s="808"/>
      <c r="B583" s="166"/>
      <c r="C583" s="166"/>
      <c r="D583" s="166"/>
      <c r="E583" s="166"/>
      <c r="F583" s="166"/>
      <c r="G583" s="166"/>
      <c r="M583" s="143"/>
      <c r="N583" s="143"/>
      <c r="O583" s="733"/>
      <c r="P583" s="23"/>
      <c r="Q583" s="23"/>
      <c r="R583" s="23"/>
      <c r="S583" s="23"/>
      <c r="T583" s="23"/>
      <c r="U583" s="23"/>
      <c r="V583" s="30"/>
      <c r="W583" s="30"/>
      <c r="X583" s="30"/>
      <c r="Y583" s="494"/>
      <c r="Z583" s="30"/>
      <c r="AA583" s="30"/>
      <c r="AB583" s="30"/>
      <c r="AC583" s="30"/>
      <c r="AD583" s="30"/>
      <c r="AE583" s="30"/>
      <c r="AF583" s="58"/>
      <c r="AG583" s="30"/>
      <c r="AH583" s="30"/>
      <c r="AI583" s="30"/>
      <c r="AJ583" s="504"/>
      <c r="AK583" s="504"/>
      <c r="AL583" s="342"/>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hidden="1" customHeight="1" thickBot="1">
      <c r="A584" s="808"/>
      <c r="B584" s="166"/>
      <c r="C584" s="166"/>
      <c r="D584" s="166"/>
      <c r="E584" s="166"/>
      <c r="F584" s="506" t="str">
        <f>Translations!$B$333</f>
        <v>Pakopa</v>
      </c>
      <c r="G584" s="1557" t="str">
        <f>Translations!$B$672</f>
        <v>pakopos aprašas</v>
      </c>
      <c r="H584" s="1557"/>
      <c r="I584" s="1555" t="str">
        <f>Translations!$B$158</f>
        <v>Vienetas</v>
      </c>
      <c r="J584" s="1555"/>
      <c r="K584" s="1555" t="str">
        <f>Translations!$B$673</f>
        <v>Vertė</v>
      </c>
      <c r="L584" s="1555"/>
      <c r="M584" s="507" t="str">
        <f>Translations!$B$610</f>
        <v>klaida</v>
      </c>
      <c r="O584" s="733"/>
      <c r="P584" s="508"/>
      <c r="Q584" s="352" t="str">
        <f>EUconst_SumEnergyIN &amp; "_" &amp; K575</f>
        <v>SUM_EnergyIN_</v>
      </c>
      <c r="R584" s="399" t="str">
        <f>IF(OR(K575="",T576)=TRUE,"",INDEX(BC590:BE590,MATCH(K575,BC585:BE585,0)))</f>
        <v/>
      </c>
      <c r="S584" s="30"/>
      <c r="T584" s="489"/>
      <c r="U584" s="30"/>
      <c r="V584" s="509" t="s">
        <v>303</v>
      </c>
      <c r="W584" s="30"/>
      <c r="X584" s="30"/>
      <c r="Y584" s="494" t="s">
        <v>566</v>
      </c>
      <c r="Z584" s="494" t="s">
        <v>318</v>
      </c>
      <c r="AA584" s="30"/>
      <c r="AB584" s="30"/>
      <c r="AC584" s="505" t="s">
        <v>309</v>
      </c>
      <c r="AD584" s="30"/>
      <c r="AE584" s="30"/>
      <c r="AF584" s="492" t="s">
        <v>305</v>
      </c>
      <c r="AG584" s="492" t="s">
        <v>306</v>
      </c>
      <c r="AH584" s="494" t="s">
        <v>304</v>
      </c>
      <c r="AI584" s="504" t="s">
        <v>307</v>
      </c>
      <c r="AJ584" s="504" t="s">
        <v>567</v>
      </c>
      <c r="AK584" s="510" t="s">
        <v>311</v>
      </c>
      <c r="AL584" s="342"/>
      <c r="AM584" s="30"/>
      <c r="AN584" s="492" t="s">
        <v>305</v>
      </c>
      <c r="AO584" s="492" t="s">
        <v>306</v>
      </c>
      <c r="AP584" s="511" t="s">
        <v>310</v>
      </c>
      <c r="AQ584" s="504" t="s">
        <v>569</v>
      </c>
      <c r="AR584" s="504" t="s">
        <v>568</v>
      </c>
      <c r="AS584" s="510" t="s">
        <v>311</v>
      </c>
      <c r="AT584" s="510" t="s">
        <v>311</v>
      </c>
      <c r="AU584" s="30"/>
      <c r="AV584" s="492"/>
      <c r="AW584" s="492"/>
      <c r="AX584" s="492" t="s">
        <v>321</v>
      </c>
      <c r="AY584" s="492"/>
      <c r="AZ584" s="492"/>
      <c r="BA584" s="492"/>
      <c r="BB584" s="492"/>
      <c r="BC584" s="492"/>
      <c r="BD584" s="492"/>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3" t="s">
        <v>262</v>
      </c>
    </row>
    <row r="585" spans="1:78" s="142" customFormat="1" ht="12.75" hidden="1" customHeight="1" thickBot="1">
      <c r="A585" s="808"/>
      <c r="B585" s="166"/>
      <c r="C585" s="777" t="s">
        <v>196</v>
      </c>
      <c r="D585" s="512" t="str">
        <f>Translations!$B$622</f>
        <v>VD:</v>
      </c>
      <c r="E585" s="513"/>
      <c r="F585" s="402"/>
      <c r="G585" s="1532" t="str">
        <f>IF(OR(ISBLANK(F585),F585=EUconst_NoTier),"",IF(Z585=0,EUconst_NA,IF(ISERROR(Z585),"",Z585)))</f>
        <v/>
      </c>
      <c r="H585" s="1533"/>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0"/>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0"/>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0"/>
      <c r="AV585" s="492" t="s">
        <v>314</v>
      </c>
      <c r="AW585" s="492" t="s">
        <v>319</v>
      </c>
      <c r="AX585" s="524"/>
      <c r="AY585" s="30" t="s">
        <v>542</v>
      </c>
      <c r="AZ585" s="30"/>
      <c r="BA585" s="30"/>
      <c r="BB585" s="504"/>
      <c r="BC585" s="493" t="str">
        <f>EUconst_Fuel</f>
        <v>Degimas</v>
      </c>
      <c r="BD585" s="493" t="str">
        <f>EUconst_ProcessCarbonate</f>
        <v>Proceso metu išsiskiriančios ŠESD</v>
      </c>
      <c r="BE585" s="493"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4" t="b">
        <f>BZ580</f>
        <v>1</v>
      </c>
    </row>
    <row r="586" spans="1:78" s="142" customFormat="1" ht="5.0999999999999996" hidden="1" customHeight="1" thickBot="1">
      <c r="A586" s="808"/>
      <c r="B586" s="166"/>
      <c r="C586" s="814"/>
      <c r="D586" s="306"/>
      <c r="F586" s="143"/>
      <c r="G586" s="143"/>
      <c r="H586" s="143" t="s">
        <v>236</v>
      </c>
      <c r="I586" s="525"/>
      <c r="J586" s="525"/>
      <c r="K586" s="143"/>
      <c r="L586" s="143"/>
      <c r="M586" s="710"/>
      <c r="O586" s="733"/>
      <c r="P586" s="33"/>
      <c r="Q586" s="33"/>
      <c r="R586" s="33"/>
      <c r="S586" s="30"/>
      <c r="T586" s="155"/>
      <c r="U586" s="497"/>
      <c r="V586" s="30"/>
      <c r="W586" s="30"/>
      <c r="X586" s="497"/>
      <c r="Y586" s="526"/>
      <c r="Z586" s="30"/>
      <c r="AA586" s="30"/>
      <c r="AB586" s="30"/>
      <c r="AC586" s="30"/>
      <c r="AD586" s="30"/>
      <c r="AE586" s="30"/>
      <c r="AF586" s="30"/>
      <c r="AG586" s="30"/>
      <c r="AH586" s="30"/>
      <c r="AI586" s="30"/>
      <c r="AJ586" s="30"/>
      <c r="AK586" s="30"/>
      <c r="AL586" s="342"/>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3"/>
    </row>
    <row r="587" spans="1:78" s="142" customFormat="1" ht="10.5" hidden="1" customHeight="1" thickBot="1">
      <c r="A587" s="808"/>
      <c r="B587" s="166"/>
      <c r="C587" s="814" t="s">
        <v>197</v>
      </c>
      <c r="D587" s="512" t="str">
        <f>Translations!$B$634</f>
        <v>(prelim.) ITF:</v>
      </c>
      <c r="E587" s="513"/>
      <c r="F587" s="527"/>
      <c r="G587" s="1532" t="str">
        <f t="shared" ref="G587:G593" si="133">IF(OR(ISBLANK(F587),F587=EUconst_NoTier),"",IF(Z587=0,EUconst_NotApplicable,IF(ISERROR(Z587),"",Z587)))</f>
        <v/>
      </c>
      <c r="H587" s="1556"/>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3"/>
      <c r="Q587" s="33"/>
      <c r="R587" s="33"/>
      <c r="S587" s="30"/>
      <c r="T587" s="530" t="str">
        <f>EUconst_CNTR_EF&amp;E576</f>
        <v>EF_</v>
      </c>
      <c r="U587" s="497"/>
      <c r="V587" s="531" t="str">
        <f>V585</f>
        <v/>
      </c>
      <c r="W587" s="30"/>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0"/>
      <c r="AC587" s="535" t="b">
        <f>AND(AC585,Y587&lt;&gt;EUconst_NA)</f>
        <v>0</v>
      </c>
      <c r="AD587" s="30"/>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0"/>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0"/>
      <c r="BA587" s="30"/>
      <c r="BB587" s="547" t="s">
        <v>594</v>
      </c>
      <c r="BC587" s="546" t="str">
        <f>IF(K575=BC585,AR585*IF(AJ587=EUconst_tCO2pTJ,(AR588/1000),1)*AR587*AR589*AR593,"")</f>
        <v/>
      </c>
      <c r="BD587" s="524" t="str">
        <f>IF(K575=BD585,AR585*AR587*AR590*AR593,"")</f>
        <v/>
      </c>
      <c r="BE587" s="523"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1" t="b">
        <f>OR(BZ585,Y587=EUconst_NA)</f>
        <v>1</v>
      </c>
    </row>
    <row r="588" spans="1:78" s="142" customFormat="1" ht="12.75" hidden="1" customHeight="1" thickBot="1">
      <c r="A588" s="808"/>
      <c r="B588" s="166"/>
      <c r="C588" s="814" t="s">
        <v>198</v>
      </c>
      <c r="D588" s="512" t="str">
        <f>Translations!$B$636</f>
        <v>GŠV:</v>
      </c>
      <c r="E588" s="513"/>
      <c r="F588" s="548"/>
      <c r="G588" s="1532" t="str">
        <f t="shared" si="133"/>
        <v/>
      </c>
      <c r="H588" s="1533"/>
      <c r="I588" s="1169" t="str">
        <f>AJ588</f>
        <v/>
      </c>
      <c r="J588" s="549"/>
      <c r="K588" s="550" t="str">
        <f t="shared" si="134"/>
        <v/>
      </c>
      <c r="L588" s="551"/>
      <c r="M588" s="709" t="str">
        <f>IF(AND(E576&lt;&gt;"",OR(F588="",COUNT(K588:L588)=0),Y588&lt;&gt;EUconst_NA,T576&lt;&gt;TRUE),EUconst_ERR_Incomplete,IF(COUNTIF(AX588:AZ588,TRUE)&gt;0,EUconst_ERR_Inconsistent,""))</f>
        <v/>
      </c>
      <c r="O588" s="733"/>
      <c r="P588" s="33"/>
      <c r="Q588" s="33"/>
      <c r="R588" s="33"/>
      <c r="S588" s="30"/>
      <c r="T588" s="552" t="str">
        <f>EUconst_CNTR_NCV&amp;E576</f>
        <v>NCV_</v>
      </c>
      <c r="U588" s="497"/>
      <c r="V588" s="553" t="str">
        <f t="shared" ref="V588:V593" si="139">V587</f>
        <v/>
      </c>
      <c r="W588" s="30"/>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0"/>
      <c r="AC588" s="557" t="b">
        <f>AND(AC585,Y588&lt;&gt;EUconst_NA)</f>
        <v>0</v>
      </c>
      <c r="AD588" s="30"/>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0"/>
      <c r="AV588" s="567" t="b">
        <f t="shared" si="136"/>
        <v>0</v>
      </c>
      <c r="AW588" s="568" t="b">
        <f t="shared" si="137"/>
        <v>0</v>
      </c>
      <c r="AX588" s="30"/>
      <c r="AY588" s="553" t="b">
        <f t="shared" si="138"/>
        <v>0</v>
      </c>
      <c r="AZ588" s="30"/>
      <c r="BA588" s="30"/>
      <c r="BB588" s="547" t="s">
        <v>595</v>
      </c>
      <c r="BC588" s="546" t="str">
        <f>IF(K575=BC585,AR585*IF(AJ587=EUconst_tCO2pTJ,(AR588/1000),1)*AR587*AR589*AR592,"")</f>
        <v/>
      </c>
      <c r="BD588" s="524" t="str">
        <f>IF(K575=BD585,AR585*AR587*AR590*AR592,"")</f>
        <v/>
      </c>
      <c r="BE588" s="523"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3" t="b">
        <f>OR(BZ585,Y588=EUconst_NA)</f>
        <v>1</v>
      </c>
    </row>
    <row r="589" spans="1:78" s="142" customFormat="1" ht="12.75" hidden="1" customHeight="1" thickBot="1">
      <c r="A589" s="808"/>
      <c r="B589" s="166"/>
      <c r="C589" s="814" t="s">
        <v>199</v>
      </c>
      <c r="D589" s="512" t="str">
        <f>Translations!$B$638</f>
        <v>OksK:</v>
      </c>
      <c r="E589" s="513"/>
      <c r="F589" s="548"/>
      <c r="G589" s="1532" t="str">
        <f t="shared" si="133"/>
        <v/>
      </c>
      <c r="H589" s="1533"/>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3"/>
      <c r="Q589" s="33"/>
      <c r="R589" s="33"/>
      <c r="S589" s="30"/>
      <c r="T589" s="552" t="str">
        <f>EUconst_CNTR_OxidationFactor&amp;E576</f>
        <v>OxF_</v>
      </c>
      <c r="U589" s="497"/>
      <c r="V589" s="553" t="str">
        <f t="shared" si="139"/>
        <v/>
      </c>
      <c r="W589" s="30"/>
      <c r="X589" s="497"/>
      <c r="Y589" s="554" t="str">
        <f>IF(OR(T576=TRUE,E576=""),"",INDEX(EUwideConstants!$N:$N,MATCH(T589,EUwideConstants!$Q:$Q,0)))</f>
        <v/>
      </c>
      <c r="Z589" s="555" t="str">
        <f>IF(ISBLANK(F589),"",IF(F589=EUconst_NA,"",INDEX(EUwideConstants!$H:$M,MATCH(T589,EUwideConstants!$Q:$Q,0),MATCH(F589,CNTR_TierList,0))))</f>
        <v/>
      </c>
      <c r="AA589" s="534" t="str">
        <f>IF(F589=1,1,"")</f>
        <v/>
      </c>
      <c r="AB589" s="30"/>
      <c r="AC589" s="557" t="b">
        <f>AND(AC585,Y589&lt;&gt;EUconst_NA)</f>
        <v>0</v>
      </c>
      <c r="AD589" s="30"/>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0"/>
      <c r="AV589" s="567" t="b">
        <f t="shared" si="136"/>
        <v>0</v>
      </c>
      <c r="AW589" s="568" t="b">
        <f t="shared" si="137"/>
        <v>0</v>
      </c>
      <c r="AX589" s="30"/>
      <c r="AY589" s="594" t="b">
        <f t="shared" si="138"/>
        <v>0</v>
      </c>
      <c r="AZ589" s="531" t="b">
        <f>AR589&gt;100%</f>
        <v>0</v>
      </c>
      <c r="BA589" s="30"/>
      <c r="BB589" s="547" t="s">
        <v>290</v>
      </c>
      <c r="BC589" s="546" t="str">
        <f>IF(K575=BC585,AR585*IF(AJ587=EUconst_tCO2pTJ,(AR588/1000),1)*AR587*AR589*(1-AR592),"")</f>
        <v/>
      </c>
      <c r="BD589" s="524" t="str">
        <f>IF(K575=BD585,AR585*AR587*AR590*(1-AR592),"")</f>
        <v/>
      </c>
      <c r="BE589" s="523"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3" t="b">
        <f>OR(BZ585,Y589=EUconst_NA)</f>
        <v>1</v>
      </c>
    </row>
    <row r="590" spans="1:78" s="142" customFormat="1" ht="12.75" hidden="1" customHeight="1" thickBot="1">
      <c r="A590" s="808"/>
      <c r="B590" s="166"/>
      <c r="C590" s="814" t="s">
        <v>200</v>
      </c>
      <c r="D590" s="512" t="str">
        <f>Translations!$B$639</f>
        <v>KonvK:</v>
      </c>
      <c r="E590" s="513"/>
      <c r="F590" s="548"/>
      <c r="G590" s="1532" t="str">
        <f t="shared" si="133"/>
        <v/>
      </c>
      <c r="H590" s="1533"/>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3"/>
      <c r="Q590" s="33"/>
      <c r="R590" s="33"/>
      <c r="S590" s="30"/>
      <c r="T590" s="552" t="str">
        <f>EUconst_CNTR_ConversionFactor&amp;E576</f>
        <v>ConvF_</v>
      </c>
      <c r="U590" s="497"/>
      <c r="V590" s="553" t="str">
        <f t="shared" si="139"/>
        <v/>
      </c>
      <c r="W590" s="30"/>
      <c r="X590" s="497"/>
      <c r="Y590" s="554" t="str">
        <f>IF(OR(T576=TRUE,E576=""),"",INDEX(EUwideConstants!$N:$N,MATCH(T590,EUwideConstants!$Q:$Q,0)))</f>
        <v/>
      </c>
      <c r="Z590" s="555" t="str">
        <f>IF(ISBLANK(F590),"",IF(F590=EUconst_NA,"",INDEX(EUwideConstants!$H:$M,MATCH(T590,EUwideConstants!$Q:$Q,0),MATCH(F590,CNTR_TierList,0))))</f>
        <v/>
      </c>
      <c r="AA590" s="582" t="str">
        <f>IF(F590=1,1,"")</f>
        <v/>
      </c>
      <c r="AB590" s="30"/>
      <c r="AC590" s="557" t="b">
        <f>AND(AC585,Y590&lt;&gt;EUconst_NA)</f>
        <v>0</v>
      </c>
      <c r="AD590" s="30"/>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0"/>
      <c r="AV590" s="567" t="b">
        <f t="shared" si="136"/>
        <v>0</v>
      </c>
      <c r="AW590" s="568" t="b">
        <f t="shared" si="137"/>
        <v>0</v>
      </c>
      <c r="AX590" s="30"/>
      <c r="AY590" s="594" t="b">
        <f t="shared" si="138"/>
        <v>0</v>
      </c>
      <c r="AZ590" s="580" t="b">
        <f>AR590&gt;100%</f>
        <v>0</v>
      </c>
      <c r="BA590" s="30"/>
      <c r="BB590" s="578" t="s">
        <v>487</v>
      </c>
      <c r="BC590" s="579">
        <f>AR585*AR588/1000*(1-AR592)</f>
        <v>0</v>
      </c>
      <c r="BD590" s="580">
        <f>BC590</f>
        <v>0</v>
      </c>
      <c r="BE590" s="581">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3" t="b">
        <f>OR(BZ585,Y590=EUconst_NA)</f>
        <v>1</v>
      </c>
    </row>
    <row r="591" spans="1:78" s="142" customFormat="1" ht="12.75" hidden="1" customHeight="1" thickBot="1">
      <c r="A591" s="808"/>
      <c r="B591" s="166"/>
      <c r="C591" s="814" t="s">
        <v>329</v>
      </c>
      <c r="D591" s="512" t="str">
        <f>Translations!$B$640</f>
        <v>AnglK:</v>
      </c>
      <c r="E591" s="513"/>
      <c r="F591" s="548"/>
      <c r="G591" s="1532" t="str">
        <f t="shared" si="133"/>
        <v/>
      </c>
      <c r="H591" s="1533"/>
      <c r="I591" s="1170" t="str">
        <f>AJ591</f>
        <v/>
      </c>
      <c r="J591" s="586"/>
      <c r="K591" s="587" t="str">
        <f t="shared" si="134"/>
        <v/>
      </c>
      <c r="L591" s="588"/>
      <c r="M591" s="709" t="str">
        <f>IF(AND(E576&lt;&gt;"",OR(F591="",COUNT(K591:L591)=0),Y591&lt;&gt;EUconst_NA,T576&lt;&gt;TRUE),EUconst_ERR_Incomplete,IF(COUNTIF(AX591:AZ591,TRUE)&gt;0,EUconst_ERR_Inconsistent,""))</f>
        <v/>
      </c>
      <c r="O591" s="733"/>
      <c r="P591" s="33"/>
      <c r="Q591" s="33"/>
      <c r="R591" s="33"/>
      <c r="S591" s="30"/>
      <c r="T591" s="552" t="str">
        <f>EUconst_CNTR_CarbonContent&amp;E576</f>
        <v>CarbC_</v>
      </c>
      <c r="U591" s="497"/>
      <c r="V591" s="553" t="str">
        <f t="shared" si="139"/>
        <v/>
      </c>
      <c r="W591" s="30"/>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0"/>
      <c r="AC591" s="557" t="b">
        <f>AND(AC585,Y591&lt;&gt;EUconst_NA)</f>
        <v>0</v>
      </c>
      <c r="AD591" s="30"/>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0"/>
      <c r="AV591" s="567" t="b">
        <f t="shared" si="136"/>
        <v>0</v>
      </c>
      <c r="AW591" s="568" t="b">
        <f t="shared" si="137"/>
        <v>0</v>
      </c>
      <c r="AX591" s="546" t="b">
        <f>OR(AND(AJ585=EUconst_kNm3,AJ591=EUconst_tCpt),AND(AJ585=EUconst_t,AJ591=EUconst_tCpkNm3))</f>
        <v>0</v>
      </c>
      <c r="AY591" s="553" t="b">
        <f t="shared" si="138"/>
        <v>0</v>
      </c>
      <c r="AZ591" s="30"/>
      <c r="BA591" s="30"/>
      <c r="BB591" s="578" t="s">
        <v>488</v>
      </c>
      <c r="BC591" s="579">
        <f>AR585*AR588/1000*AR592</f>
        <v>0</v>
      </c>
      <c r="BD591" s="580">
        <f>BC591</f>
        <v>0</v>
      </c>
      <c r="BE591" s="581">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3" t="b">
        <f>OR(BZ585,Y591=EUconst_NA)</f>
        <v>1</v>
      </c>
    </row>
    <row r="592" spans="1:78" s="142" customFormat="1" ht="12.75" hidden="1" customHeight="1" thickBot="1">
      <c r="A592" s="808"/>
      <c r="B592" s="166"/>
      <c r="C592" s="777" t="s">
        <v>330</v>
      </c>
      <c r="D592" s="512" t="str">
        <f>Translations!$B$641</f>
        <v>BioC:</v>
      </c>
      <c r="E592" s="513"/>
      <c r="F592" s="548"/>
      <c r="G592" s="1532" t="str">
        <f t="shared" si="133"/>
        <v/>
      </c>
      <c r="H592" s="1533"/>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0"/>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0"/>
      <c r="AC592" s="557" t="b">
        <f>AND(AC585,Y592&lt;&gt;EUconst_NA)</f>
        <v>0</v>
      </c>
      <c r="AD592" s="30"/>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0"/>
      <c r="AV592" s="567" t="b">
        <f t="shared" si="136"/>
        <v>0</v>
      </c>
      <c r="AW592" s="568" t="b">
        <f t="shared" si="137"/>
        <v>0</v>
      </c>
      <c r="AX592" s="30"/>
      <c r="AY592" s="594" t="b">
        <f t="shared" si="138"/>
        <v>0</v>
      </c>
      <c r="AZ592" s="531"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3" t="b">
        <f>OR(BZ585,Y592=EUconst_NA)</f>
        <v>1</v>
      </c>
    </row>
    <row r="593" spans="1:78" s="142" customFormat="1" ht="12.75" hidden="1" customHeight="1" thickBot="1">
      <c r="A593" s="808"/>
      <c r="B593" s="166"/>
      <c r="C593" s="777" t="s">
        <v>454</v>
      </c>
      <c r="D593" s="512" t="str">
        <f>Translations!$B$647</f>
        <v>Netvar. BioC:</v>
      </c>
      <c r="E593" s="513"/>
      <c r="F593" s="597"/>
      <c r="G593" s="1532" t="str">
        <f t="shared" si="133"/>
        <v/>
      </c>
      <c r="H593" s="1533"/>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0"/>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0"/>
      <c r="AC593" s="603" t="b">
        <f>AND(AC585,Y593&lt;&gt;EUconst_NA)</f>
        <v>0</v>
      </c>
      <c r="AD593" s="30"/>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0"/>
      <c r="AV593" s="613" t="b">
        <f t="shared" si="136"/>
        <v>0</v>
      </c>
      <c r="AW593" s="614" t="b">
        <f t="shared" si="137"/>
        <v>0</v>
      </c>
      <c r="AX593" s="30"/>
      <c r="AY593" s="579" t="b">
        <f t="shared" si="138"/>
        <v>0</v>
      </c>
      <c r="AZ593" s="580"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80" t="b">
        <f>OR(BZ585,Y593=EUconst_NA)</f>
        <v>1</v>
      </c>
    </row>
    <row r="594" spans="1:78" s="142" customFormat="1" ht="4.5" hidden="1" customHeight="1" thickBot="1">
      <c r="A594" s="808"/>
      <c r="B594" s="166"/>
      <c r="C594" s="166"/>
      <c r="D594" s="180"/>
      <c r="O594" s="733"/>
      <c r="P594" s="33"/>
      <c r="Q594" s="33"/>
      <c r="R594" s="33"/>
      <c r="S594" s="174"/>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hidden="1" customHeight="1" thickBot="1">
      <c r="A595" s="808"/>
      <c r="B595" s="166"/>
      <c r="C595" s="166"/>
      <c r="D595" s="1558" t="str">
        <f>Translations!$B$674</f>
        <v>Pakopos galioja nuo:</v>
      </c>
      <c r="E595" s="1558"/>
      <c r="F595" s="1559"/>
      <c r="G595" s="1052"/>
      <c r="H595" s="615" t="str">
        <f>Translations!$B$675</f>
        <v>iki:</v>
      </c>
      <c r="I595" s="1052"/>
      <c r="J595" s="1536" t="str">
        <f>Translations!$B$676</f>
        <v>Atliekų katalogo numeris (jeigu taikytina):</v>
      </c>
      <c r="K595" s="1537"/>
      <c r="L595" s="1537"/>
      <c r="M595" s="1538"/>
      <c r="N595" s="1289"/>
      <c r="O595" s="733"/>
      <c r="P595" s="33"/>
      <c r="Q595" s="33"/>
      <c r="R595" s="33"/>
      <c r="S595" s="1290"/>
      <c r="T595" s="492"/>
      <c r="U595" s="492"/>
      <c r="V595" s="48" t="b">
        <f>IF(V585="",FALSE,INDEX(CNTR_IsWaste,MATCH(V585,MSParameters!$A$218:$A$376,0)))</f>
        <v>0</v>
      </c>
      <c r="W595" s="1290"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4.5" hidden="1" customHeight="1" thickBot="1">
      <c r="A596" s="808"/>
      <c r="B596" s="166"/>
      <c r="C596" s="166"/>
      <c r="D596" s="615"/>
      <c r="E596" s="495"/>
      <c r="F596" s="495"/>
      <c r="G596" s="495"/>
      <c r="H596" s="495"/>
      <c r="I596" s="495"/>
      <c r="J596" s="495"/>
      <c r="K596" s="495"/>
      <c r="L596" s="495"/>
      <c r="M596" s="495"/>
      <c r="N596" s="495"/>
      <c r="O596" s="733"/>
      <c r="P596" s="33"/>
      <c r="Q596" s="33"/>
      <c r="R596" s="33"/>
      <c r="S596" s="174"/>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hidden="1" customHeight="1" thickBot="1">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3"/>
      <c r="Q597" s="33"/>
      <c r="R597" s="33"/>
      <c r="S597" s="174"/>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4.5" hidden="1" customHeight="1" thickBot="1">
      <c r="A598" s="815"/>
      <c r="D598" s="180"/>
      <c r="O598" s="573"/>
      <c r="P598" s="497"/>
      <c r="Q598" s="497"/>
      <c r="R598" s="497"/>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ht="13.5" hidden="1" thickBot="1">
      <c r="A599" s="815"/>
      <c r="D599" s="1534" t="str">
        <f>Translations!$B$160</f>
        <v>Pastabos:</v>
      </c>
      <c r="E599" s="1535"/>
      <c r="F599" s="1539"/>
      <c r="G599" s="1540"/>
      <c r="H599" s="1540"/>
      <c r="I599" s="1540"/>
      <c r="J599" s="1540"/>
      <c r="K599" s="1540"/>
      <c r="L599" s="1540"/>
      <c r="M599" s="1540"/>
      <c r="N599" s="1541"/>
      <c r="O599" s="573"/>
      <c r="P599" s="497"/>
      <c r="Q599" s="497"/>
      <c r="R599" s="497"/>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c r="A600" s="808"/>
      <c r="B600" s="495"/>
      <c r="C600" s="499"/>
      <c r="D600" s="500"/>
      <c r="E600" s="501"/>
      <c r="F600" s="499"/>
      <c r="G600" s="502"/>
      <c r="H600" s="502"/>
      <c r="I600" s="502"/>
      <c r="J600" s="502"/>
      <c r="K600" s="502"/>
      <c r="L600" s="502"/>
      <c r="M600" s="502"/>
      <c r="N600" s="502"/>
      <c r="O600" s="740"/>
      <c r="P600" s="494"/>
      <c r="Q600" s="494"/>
      <c r="R600" s="494"/>
      <c r="S600" s="58"/>
      <c r="T600" s="58"/>
      <c r="U600" s="498"/>
      <c r="V600" s="58"/>
      <c r="W600" s="58"/>
      <c r="X600" s="49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c r="A601" s="813"/>
      <c r="B601" s="495"/>
      <c r="C601" s="495"/>
      <c r="D601" s="180"/>
      <c r="E601" s="496"/>
      <c r="F601" s="495"/>
      <c r="G601" s="487"/>
      <c r="H601" s="487"/>
      <c r="I601" s="487"/>
      <c r="J601" s="487"/>
      <c r="K601" s="495"/>
      <c r="L601" s="487"/>
      <c r="M601" s="487"/>
      <c r="N601" s="487"/>
      <c r="O601" s="740"/>
      <c r="P601" s="494"/>
      <c r="Q601" s="494"/>
      <c r="R601" s="494"/>
      <c r="S601" s="23"/>
      <c r="T601" s="27" t="str">
        <f>IF(ISBLANK(E602),"",MATCH(E602,CNTR_SourceStreamNames,0))</f>
        <v/>
      </c>
      <c r="U601" s="618"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1"/>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3" t="s">
        <v>262</v>
      </c>
    </row>
    <row r="602" spans="1:78" s="142" customFormat="1" ht="15" hidden="1" customHeight="1" thickBot="1">
      <c r="A602" s="869" t="str">
        <f>IF(E602="","","PRINT")</f>
        <v/>
      </c>
      <c r="B602" s="166"/>
      <c r="C602" s="617">
        <f>C575+1</f>
        <v>21</v>
      </c>
      <c r="D602" s="166"/>
      <c r="E602" s="1542"/>
      <c r="F602" s="1543"/>
      <c r="G602" s="1543"/>
      <c r="H602" s="1543"/>
      <c r="I602" s="1543"/>
      <c r="J602" s="1544"/>
      <c r="K602" s="1545" t="str">
        <f>IF(E603="","",INDEX(EUwideConstants!$F$353:$F$394,MATCH(E603,EUConst_TierActivityListNames,0)))</f>
        <v/>
      </c>
      <c r="L602" s="1546"/>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3"/>
      <c r="T602" s="509" t="s">
        <v>393</v>
      </c>
      <c r="U602" s="23"/>
      <c r="V602" s="78"/>
      <c r="W602" s="56"/>
      <c r="X602" s="58"/>
      <c r="Y602" s="58"/>
      <c r="Z602" s="58"/>
      <c r="AA602" s="58"/>
      <c r="AB602" s="58"/>
      <c r="AC602" s="58"/>
      <c r="AD602" s="58"/>
      <c r="AE602" s="58"/>
      <c r="AF602" s="58"/>
      <c r="AG602" s="58"/>
      <c r="AH602" s="58"/>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6"/>
      <c r="BZ602" s="619" t="b">
        <f>CNTR_CalcRelevant=EUconst_NotRelevant</f>
        <v>0</v>
      </c>
    </row>
    <row r="603" spans="1:78" s="142" customFormat="1" ht="15" hidden="1" customHeight="1" thickBot="1">
      <c r="A603" s="808"/>
      <c r="B603" s="166"/>
      <c r="C603" s="166"/>
      <c r="D603" s="166"/>
      <c r="E603" s="1547" t="str">
        <f>IF(ISBLANK(E602),"",IF(INDEX(B_InstallationDescription!$E$71:$E$145,MATCH(U601,B_InstallationDescription!$D$71:$D$145,0))&gt;0,INDEX(B_InstallationDescription!$E$71:$E$145,MATCH(U601,B_InstallationDescription!$D$71:$D$145,0)),""))</f>
        <v/>
      </c>
      <c r="F603" s="1548"/>
      <c r="G603" s="1548"/>
      <c r="H603" s="1548"/>
      <c r="I603" s="1548"/>
      <c r="J603" s="1549"/>
      <c r="M603" s="346" t="str">
        <f>Translations!$B$666</f>
        <v>CO2, biomasės kilmės.:</v>
      </c>
      <c r="N603" s="1051" t="str">
        <f>IF(OR(K602="",T603=TRUE),"",INDEX(BC615:BE615,MATCH(K602,BC612:BE612,0)))</f>
        <v/>
      </c>
      <c r="O603" s="742" t="s">
        <v>260</v>
      </c>
      <c r="P603" s="494"/>
      <c r="Q603" s="352" t="str">
        <f>EUconst_SumBioCO2 &amp; "_" &amp; K602</f>
        <v>SUM_bioCO2_</v>
      </c>
      <c r="R603" s="494"/>
      <c r="S603" s="23"/>
      <c r="T603" s="48" t="str">
        <f>IF(E603="","",MATCH(E603,EUConst_TierActivityListNames,0)&gt;40)</f>
        <v/>
      </c>
      <c r="U603" s="23"/>
      <c r="V603" s="78"/>
      <c r="W603" s="56"/>
      <c r="X603" s="58"/>
      <c r="Y603" s="27" t="s">
        <v>93</v>
      </c>
      <c r="Z603" s="30"/>
      <c r="AA603" s="30"/>
      <c r="AB603" s="30"/>
      <c r="AC603" s="30"/>
      <c r="AD603" s="30"/>
      <c r="AE603" s="27" t="s">
        <v>302</v>
      </c>
      <c r="AF603" s="58"/>
      <c r="AG603" s="504"/>
      <c r="AH603" s="30"/>
      <c r="AI603" s="30"/>
      <c r="AJ603" s="504"/>
      <c r="AK603" s="504"/>
      <c r="AL603" s="342"/>
      <c r="AM603" s="27" t="s">
        <v>308</v>
      </c>
      <c r="AN603" s="505"/>
      <c r="AO603" s="505"/>
      <c r="AP603" s="30"/>
      <c r="AQ603" s="30"/>
      <c r="AR603" s="30"/>
      <c r="AS603" s="30"/>
      <c r="AT603" s="30"/>
      <c r="AU603" s="30"/>
      <c r="AV603" s="27" t="s">
        <v>315</v>
      </c>
      <c r="AW603" s="30"/>
      <c r="AX603" s="492"/>
      <c r="AY603" s="30"/>
      <c r="AZ603" s="30"/>
      <c r="BA603" s="30"/>
      <c r="BB603" s="27" t="s">
        <v>219</v>
      </c>
      <c r="BC603" s="30"/>
      <c r="BD603" s="30"/>
      <c r="BE603" s="30"/>
      <c r="BF603" s="30"/>
      <c r="BG603" s="27"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0"/>
      <c r="BZ603" s="30"/>
    </row>
    <row r="604" spans="1:78" s="142" customFormat="1" ht="4.5" hidden="1" customHeight="1" thickBot="1">
      <c r="A604" s="808"/>
      <c r="B604" s="166"/>
      <c r="C604" s="166"/>
      <c r="D604" s="166"/>
      <c r="E604" s="166"/>
      <c r="F604" s="166"/>
      <c r="G604" s="166"/>
      <c r="M604" s="143"/>
      <c r="N604" s="143"/>
      <c r="O604" s="733"/>
      <c r="P604" s="33"/>
      <c r="Q604" s="33"/>
      <c r="R604" s="33"/>
      <c r="S604" s="23"/>
      <c r="T604" s="23"/>
      <c r="U604" s="23"/>
      <c r="V604" s="78"/>
      <c r="W604" s="30"/>
      <c r="X604" s="30"/>
      <c r="Y604" s="494"/>
      <c r="Z604" s="30"/>
      <c r="AA604" s="30"/>
      <c r="AB604" s="30"/>
      <c r="AC604" s="30"/>
      <c r="AD604" s="30"/>
      <c r="AE604" s="30"/>
      <c r="AF604" s="58"/>
      <c r="AG604" s="30"/>
      <c r="AH604" s="30"/>
      <c r="AI604" s="30"/>
      <c r="AJ604" s="504"/>
      <c r="AK604" s="504"/>
      <c r="AL604" s="342"/>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hidden="1" customHeight="1" thickBot="1">
      <c r="A605" s="808"/>
      <c r="B605" s="166"/>
      <c r="C605" s="166"/>
      <c r="D605" s="166"/>
      <c r="E605" s="1550" t="str">
        <f>IF(E602="","",IF(T603=TRUE,HYPERLINK("#JUMP_14",EUconst_MsgGoOnPFC),HYPERLINK("#JUMP_E_8",EUconst_FurtherGuidancePoint1)))</f>
        <v/>
      </c>
      <c r="F605" s="1550"/>
      <c r="G605" s="1550"/>
      <c r="H605" s="1550"/>
      <c r="I605" s="1550"/>
      <c r="J605" s="1550"/>
      <c r="K605" s="1550"/>
      <c r="L605" s="1550"/>
      <c r="M605" s="1550"/>
      <c r="N605" s="143"/>
      <c r="O605" s="733"/>
      <c r="P605" s="33"/>
      <c r="Q605" s="352" t="str">
        <f>EUconst_SumNonSustBioCO2 &amp; "_" &amp; K602</f>
        <v>SUM_bioNonSustCO2_</v>
      </c>
      <c r="R605" s="707"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4"/>
      <c r="AK605" s="504"/>
      <c r="AL605" s="342"/>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hidden="1" customHeight="1" thickBot="1">
      <c r="A606" s="808"/>
      <c r="B606" s="166"/>
      <c r="C606" s="166"/>
      <c r="D606" s="166"/>
      <c r="E606" s="166"/>
      <c r="F606" s="166"/>
      <c r="G606" s="166"/>
      <c r="M606" s="143"/>
      <c r="N606" s="143"/>
      <c r="O606" s="733"/>
      <c r="P606" s="23"/>
      <c r="Q606" s="23"/>
      <c r="R606" s="23"/>
      <c r="S606" s="23"/>
      <c r="T606" s="23"/>
      <c r="U606" s="23"/>
      <c r="V606" s="30"/>
      <c r="W606" s="30"/>
      <c r="X606" s="30"/>
      <c r="Y606" s="494"/>
      <c r="Z606" s="30"/>
      <c r="AA606" s="30"/>
      <c r="AB606" s="30"/>
      <c r="AC606" s="30"/>
      <c r="AD606" s="30"/>
      <c r="AE606" s="30"/>
      <c r="AF606" s="58"/>
      <c r="AG606" s="30"/>
      <c r="AH606" s="30"/>
      <c r="AI606" s="30"/>
      <c r="AJ606" s="504"/>
      <c r="AK606" s="504"/>
      <c r="AL606" s="342"/>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hidden="1" customHeight="1" thickBot="1">
      <c r="A607" s="808"/>
      <c r="B607" s="166"/>
      <c r="C607" s="814" t="s">
        <v>4</v>
      </c>
      <c r="D607" s="512" t="str">
        <f>Translations!$B$622</f>
        <v>VD:</v>
      </c>
      <c r="E607" s="1560" t="str">
        <f>Translations!$B$667</f>
        <v>Ar veiklos duomenys gaunami sudedant išmatuotus kiekius (t. y. ne atliekant nuolatinius matavimus)?</v>
      </c>
      <c r="F607" s="1560"/>
      <c r="G607" s="1560"/>
      <c r="H607" s="1560"/>
      <c r="I607" s="1560"/>
      <c r="J607" s="1560"/>
      <c r="K607" s="1560"/>
      <c r="L607" s="1179"/>
      <c r="M607" s="507"/>
      <c r="O607" s="733"/>
      <c r="P607" s="23"/>
      <c r="Q607" s="23"/>
      <c r="R607" s="23"/>
      <c r="S607" s="23"/>
      <c r="T607" s="23"/>
      <c r="U607" s="23"/>
      <c r="V607" s="30"/>
      <c r="W607" s="30"/>
      <c r="X607" s="30"/>
      <c r="Y607" s="494"/>
      <c r="Z607" s="30"/>
      <c r="AA607" s="30"/>
      <c r="AB607" s="30"/>
      <c r="AC607" s="1172" t="b">
        <f>AND(E602&lt;&gt;"",T603&lt;&gt;TRUE)</f>
        <v>0</v>
      </c>
      <c r="AD607" s="30"/>
      <c r="AE607" s="30"/>
      <c r="AF607" s="58"/>
      <c r="AG607" s="30"/>
      <c r="AH607" s="30"/>
      <c r="AI607" s="30"/>
      <c r="AJ607" s="504"/>
      <c r="AK607" s="504"/>
      <c r="AL607" s="342"/>
      <c r="AM607" s="30"/>
      <c r="AN607" s="30"/>
      <c r="AO607" s="30"/>
      <c r="AP607" s="30"/>
      <c r="AQ607" s="30"/>
      <c r="AR607" s="30"/>
      <c r="AS607" s="30"/>
      <c r="AT607" s="1172"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2" t="b">
        <f>OR(CNTR_CalcRelevant=EUconst_NotRelevant,AND(COUNTA(CNTR_ListRelevantSections)&gt;0,OR(T603=TRUE,E602="")))</f>
        <v>1</v>
      </c>
    </row>
    <row r="608" spans="1:78" s="142" customFormat="1" ht="4.5" hidden="1" customHeight="1" thickBot="1">
      <c r="A608" s="808"/>
      <c r="B608" s="166"/>
      <c r="C608" s="166"/>
      <c r="D608" s="166"/>
      <c r="E608" s="166"/>
      <c r="F608" s="166"/>
      <c r="G608" s="166"/>
      <c r="H608" s="495"/>
      <c r="I608" s="495"/>
      <c r="J608" s="495"/>
      <c r="K608" s="495"/>
      <c r="L608" s="495"/>
      <c r="M608" s="507"/>
      <c r="O608" s="733"/>
      <c r="P608" s="23"/>
      <c r="Q608" s="23"/>
      <c r="R608" s="23"/>
      <c r="S608" s="23"/>
      <c r="T608" s="23"/>
      <c r="U608" s="23"/>
      <c r="V608" s="30"/>
      <c r="W608" s="30"/>
      <c r="X608" s="30"/>
      <c r="Y608" s="494"/>
      <c r="Z608" s="30"/>
      <c r="AA608" s="30"/>
      <c r="AB608" s="30"/>
      <c r="AC608" s="492"/>
      <c r="AD608" s="30"/>
      <c r="AE608" s="30"/>
      <c r="AF608" s="58"/>
      <c r="AG608" s="30"/>
      <c r="AH608" s="30"/>
      <c r="AI608" s="30"/>
      <c r="AJ608" s="504"/>
      <c r="AK608" s="504"/>
      <c r="AL608" s="342"/>
      <c r="AM608" s="30"/>
      <c r="AN608" s="30"/>
      <c r="AO608" s="30"/>
      <c r="AP608" s="30"/>
      <c r="AQ608" s="30"/>
      <c r="AR608" s="30"/>
      <c r="AS608" s="30"/>
      <c r="AT608" s="492"/>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2"/>
    </row>
    <row r="609" spans="1:78" s="142" customFormat="1" ht="12.75" hidden="1" customHeight="1" thickBot="1">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3"/>
      <c r="Q609" s="23"/>
      <c r="R609" s="23"/>
      <c r="S609" s="23"/>
      <c r="T609" s="23"/>
      <c r="U609" s="23"/>
      <c r="V609" s="30"/>
      <c r="W609" s="30"/>
      <c r="X609" s="30"/>
      <c r="Y609" s="494"/>
      <c r="Z609" s="30"/>
      <c r="AA609" s="30"/>
      <c r="AB609" s="30"/>
      <c r="AC609" s="1172" t="b">
        <f>AC607</f>
        <v>0</v>
      </c>
      <c r="AD609" s="30"/>
      <c r="AE609" s="30"/>
      <c r="AF609" s="58"/>
      <c r="AG609" s="30"/>
      <c r="AH609" s="30"/>
      <c r="AI609" s="30"/>
      <c r="AJ609" s="504"/>
      <c r="AK609" s="504"/>
      <c r="AL609" s="342"/>
      <c r="AM609" s="30"/>
      <c r="AN609" s="30"/>
      <c r="AO609" s="30"/>
      <c r="AP609" s="30"/>
      <c r="AQ609" s="30"/>
      <c r="AR609" s="30"/>
      <c r="AS609" s="30"/>
      <c r="AT609" s="1172"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2" t="b">
        <f>OR(BZ607,AND(NOT(ISBLANK(L607)),L607=FALSE))</f>
        <v>1</v>
      </c>
    </row>
    <row r="610" spans="1:78" s="142" customFormat="1" ht="4.5" hidden="1" customHeight="1" thickBot="1">
      <c r="A610" s="808"/>
      <c r="B610" s="166"/>
      <c r="C610" s="166"/>
      <c r="D610" s="166"/>
      <c r="E610" s="166"/>
      <c r="F610" s="166"/>
      <c r="G610" s="166"/>
      <c r="M610" s="143"/>
      <c r="N610" s="143"/>
      <c r="O610" s="733"/>
      <c r="P610" s="23"/>
      <c r="Q610" s="23"/>
      <c r="R610" s="23"/>
      <c r="S610" s="23"/>
      <c r="T610" s="23"/>
      <c r="U610" s="23"/>
      <c r="V610" s="30"/>
      <c r="W610" s="30"/>
      <c r="X610" s="30"/>
      <c r="Y610" s="494"/>
      <c r="Z610" s="30"/>
      <c r="AA610" s="30"/>
      <c r="AB610" s="30"/>
      <c r="AC610" s="30"/>
      <c r="AD610" s="30"/>
      <c r="AE610" s="30"/>
      <c r="AF610" s="58"/>
      <c r="AG610" s="30"/>
      <c r="AH610" s="30"/>
      <c r="AI610" s="30"/>
      <c r="AJ610" s="504"/>
      <c r="AK610" s="504"/>
      <c r="AL610" s="342"/>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hidden="1" customHeight="1" thickBot="1">
      <c r="A611" s="808"/>
      <c r="B611" s="166"/>
      <c r="C611" s="166"/>
      <c r="D611" s="166"/>
      <c r="E611" s="166"/>
      <c r="F611" s="506" t="str">
        <f>Translations!$B$333</f>
        <v>Pakopa</v>
      </c>
      <c r="G611" s="1557" t="str">
        <f>Translations!$B$672</f>
        <v>pakopos aprašas</v>
      </c>
      <c r="H611" s="1557"/>
      <c r="I611" s="1555" t="str">
        <f>Translations!$B$158</f>
        <v>Vienetas</v>
      </c>
      <c r="J611" s="1555"/>
      <c r="K611" s="1555" t="str">
        <f>Translations!$B$673</f>
        <v>Vertė</v>
      </c>
      <c r="L611" s="1555"/>
      <c r="M611" s="507" t="str">
        <f>Translations!$B$610</f>
        <v>klaida</v>
      </c>
      <c r="O611" s="733"/>
      <c r="P611" s="508"/>
      <c r="Q611" s="352" t="str">
        <f>EUconst_SumEnergyIN &amp; "_" &amp; K602</f>
        <v>SUM_EnergyIN_</v>
      </c>
      <c r="R611" s="399" t="str">
        <f>IF(OR(K602="",T603)=TRUE,"",INDEX(BC617:BE617,MATCH(K602,BC612:BE612,0)))</f>
        <v/>
      </c>
      <c r="S611" s="30"/>
      <c r="T611" s="489"/>
      <c r="U611" s="30"/>
      <c r="V611" s="509" t="s">
        <v>303</v>
      </c>
      <c r="W611" s="30"/>
      <c r="X611" s="30"/>
      <c r="Y611" s="494" t="s">
        <v>566</v>
      </c>
      <c r="Z611" s="494" t="s">
        <v>318</v>
      </c>
      <c r="AA611" s="30"/>
      <c r="AB611" s="30"/>
      <c r="AC611" s="505" t="s">
        <v>309</v>
      </c>
      <c r="AD611" s="30"/>
      <c r="AE611" s="30"/>
      <c r="AF611" s="492" t="s">
        <v>305</v>
      </c>
      <c r="AG611" s="492" t="s">
        <v>306</v>
      </c>
      <c r="AH611" s="494" t="s">
        <v>304</v>
      </c>
      <c r="AI611" s="504" t="s">
        <v>307</v>
      </c>
      <c r="AJ611" s="504" t="s">
        <v>567</v>
      </c>
      <c r="AK611" s="510" t="s">
        <v>311</v>
      </c>
      <c r="AL611" s="342"/>
      <c r="AM611" s="30"/>
      <c r="AN611" s="492" t="s">
        <v>305</v>
      </c>
      <c r="AO611" s="492" t="s">
        <v>306</v>
      </c>
      <c r="AP611" s="511" t="s">
        <v>310</v>
      </c>
      <c r="AQ611" s="504" t="s">
        <v>569</v>
      </c>
      <c r="AR611" s="504" t="s">
        <v>568</v>
      </c>
      <c r="AS611" s="510" t="s">
        <v>311</v>
      </c>
      <c r="AT611" s="510" t="s">
        <v>311</v>
      </c>
      <c r="AU611" s="30"/>
      <c r="AV611" s="492"/>
      <c r="AW611" s="492"/>
      <c r="AX611" s="492" t="s">
        <v>321</v>
      </c>
      <c r="AY611" s="492"/>
      <c r="AZ611" s="492"/>
      <c r="BA611" s="492"/>
      <c r="BB611" s="492"/>
      <c r="BC611" s="492"/>
      <c r="BD611" s="492"/>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3" t="s">
        <v>262</v>
      </c>
    </row>
    <row r="612" spans="1:78" s="142" customFormat="1" ht="12.75" hidden="1" customHeight="1" thickBot="1">
      <c r="A612" s="808"/>
      <c r="B612" s="166"/>
      <c r="C612" s="777" t="s">
        <v>196</v>
      </c>
      <c r="D612" s="512" t="str">
        <f>Translations!$B$622</f>
        <v>VD:</v>
      </c>
      <c r="E612" s="513"/>
      <c r="F612" s="402"/>
      <c r="G612" s="1532" t="str">
        <f>IF(OR(ISBLANK(F612),F612=EUconst_NoTier),"",IF(Z612=0,EUconst_NA,IF(ISERROR(Z612),"",Z612)))</f>
        <v/>
      </c>
      <c r="H612" s="1533"/>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0"/>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0"/>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0"/>
      <c r="AV612" s="492" t="s">
        <v>314</v>
      </c>
      <c r="AW612" s="492" t="s">
        <v>319</v>
      </c>
      <c r="AX612" s="524"/>
      <c r="AY612" s="30" t="s">
        <v>542</v>
      </c>
      <c r="AZ612" s="30"/>
      <c r="BA612" s="30"/>
      <c r="BB612" s="504"/>
      <c r="BC612" s="493" t="str">
        <f>EUconst_Fuel</f>
        <v>Degimas</v>
      </c>
      <c r="BD612" s="493" t="str">
        <f>EUconst_ProcessCarbonate</f>
        <v>Proceso metu išsiskiriančios ŠESD</v>
      </c>
      <c r="BE612" s="493"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4" t="b">
        <f>BZ607</f>
        <v>1</v>
      </c>
    </row>
    <row r="613" spans="1:78" s="142" customFormat="1" ht="5.0999999999999996" hidden="1" customHeight="1" thickBot="1">
      <c r="A613" s="808"/>
      <c r="B613" s="166"/>
      <c r="C613" s="814"/>
      <c r="D613" s="306"/>
      <c r="F613" s="143"/>
      <c r="G613" s="143"/>
      <c r="H613" s="143" t="s">
        <v>236</v>
      </c>
      <c r="I613" s="525"/>
      <c r="J613" s="525"/>
      <c r="K613" s="143"/>
      <c r="L613" s="143"/>
      <c r="M613" s="710"/>
      <c r="O613" s="733"/>
      <c r="P613" s="33"/>
      <c r="Q613" s="33"/>
      <c r="R613" s="33"/>
      <c r="S613" s="30"/>
      <c r="T613" s="155"/>
      <c r="U613" s="497"/>
      <c r="V613" s="30"/>
      <c r="W613" s="30"/>
      <c r="X613" s="497"/>
      <c r="Y613" s="526"/>
      <c r="Z613" s="30"/>
      <c r="AA613" s="30"/>
      <c r="AB613" s="30"/>
      <c r="AC613" s="30"/>
      <c r="AD613" s="30"/>
      <c r="AE613" s="30"/>
      <c r="AF613" s="30"/>
      <c r="AG613" s="30"/>
      <c r="AH613" s="30"/>
      <c r="AI613" s="30"/>
      <c r="AJ613" s="30"/>
      <c r="AK613" s="30"/>
      <c r="AL613" s="342"/>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3"/>
    </row>
    <row r="614" spans="1:78" s="142" customFormat="1" ht="12.75" hidden="1" customHeight="1" thickBot="1">
      <c r="A614" s="808"/>
      <c r="B614" s="166"/>
      <c r="C614" s="814" t="s">
        <v>197</v>
      </c>
      <c r="D614" s="512" t="str">
        <f>Translations!$B$634</f>
        <v>(prelim.) ITF:</v>
      </c>
      <c r="E614" s="513"/>
      <c r="F614" s="527"/>
      <c r="G614" s="1532" t="str">
        <f t="shared" ref="G614:G620" si="140">IF(OR(ISBLANK(F614),F614=EUconst_NoTier),"",IF(Z614=0,EUconst_NotApplicable,IF(ISERROR(Z614),"",Z614)))</f>
        <v/>
      </c>
      <c r="H614" s="1556"/>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3"/>
      <c r="Q614" s="33"/>
      <c r="R614" s="33"/>
      <c r="S614" s="30"/>
      <c r="T614" s="530" t="str">
        <f>EUconst_CNTR_EF&amp;E603</f>
        <v>EF_</v>
      </c>
      <c r="U614" s="497"/>
      <c r="V614" s="531" t="str">
        <f>V612</f>
        <v/>
      </c>
      <c r="W614" s="30"/>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0"/>
      <c r="AC614" s="535" t="b">
        <f>AND(AC612,Y614&lt;&gt;EUconst_NA)</f>
        <v>0</v>
      </c>
      <c r="AD614" s="30"/>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0"/>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0"/>
      <c r="BA614" s="30"/>
      <c r="BB614" s="547" t="s">
        <v>594</v>
      </c>
      <c r="BC614" s="546" t="str">
        <f>IF(K602=BC612,AR612*IF(AJ614=EUconst_tCO2pTJ,(AR615/1000),1)*AR614*AR616*AR620,"")</f>
        <v/>
      </c>
      <c r="BD614" s="524" t="str">
        <f>IF(K602=BD612,AR612*AR614*AR617*AR620,"")</f>
        <v/>
      </c>
      <c r="BE614" s="523"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1" t="b">
        <f>OR(BZ612,Y614=EUconst_NA)</f>
        <v>1</v>
      </c>
    </row>
    <row r="615" spans="1:78" s="142" customFormat="1" ht="12.75" hidden="1" customHeight="1" thickBot="1">
      <c r="A615" s="808"/>
      <c r="B615" s="166"/>
      <c r="C615" s="814" t="s">
        <v>198</v>
      </c>
      <c r="D615" s="512" t="str">
        <f>Translations!$B$636</f>
        <v>GŠV:</v>
      </c>
      <c r="E615" s="513"/>
      <c r="F615" s="548"/>
      <c r="G615" s="1532" t="str">
        <f t="shared" si="140"/>
        <v/>
      </c>
      <c r="H615" s="1533"/>
      <c r="I615" s="1169" t="str">
        <f>AJ615</f>
        <v/>
      </c>
      <c r="J615" s="549"/>
      <c r="K615" s="550" t="str">
        <f t="shared" si="141"/>
        <v/>
      </c>
      <c r="L615" s="551"/>
      <c r="M615" s="709" t="str">
        <f>IF(AND(E603&lt;&gt;"",OR(F615="",COUNT(K615:L615)=0),Y615&lt;&gt;EUconst_NA,T603&lt;&gt;TRUE),EUconst_ERR_Incomplete,IF(COUNTIF(AX615:AZ615,TRUE)&gt;0,EUconst_ERR_Inconsistent,""))</f>
        <v/>
      </c>
      <c r="O615" s="733"/>
      <c r="P615" s="33"/>
      <c r="Q615" s="33"/>
      <c r="R615" s="33"/>
      <c r="S615" s="30"/>
      <c r="T615" s="552" t="str">
        <f>EUconst_CNTR_NCV&amp;E603</f>
        <v>NCV_</v>
      </c>
      <c r="U615" s="497"/>
      <c r="V615" s="553" t="str">
        <f t="shared" ref="V615:V620" si="146">V614</f>
        <v/>
      </c>
      <c r="W615" s="30"/>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0"/>
      <c r="AC615" s="557" t="b">
        <f>AND(AC612,Y615&lt;&gt;EUconst_NA)</f>
        <v>0</v>
      </c>
      <c r="AD615" s="30"/>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0"/>
      <c r="AV615" s="567" t="b">
        <f t="shared" si="143"/>
        <v>0</v>
      </c>
      <c r="AW615" s="568" t="b">
        <f t="shared" si="144"/>
        <v>0</v>
      </c>
      <c r="AX615" s="30"/>
      <c r="AY615" s="553" t="b">
        <f t="shared" si="145"/>
        <v>0</v>
      </c>
      <c r="AZ615" s="30"/>
      <c r="BA615" s="30"/>
      <c r="BB615" s="547" t="s">
        <v>595</v>
      </c>
      <c r="BC615" s="546" t="str">
        <f>IF(K602=BC612,AR612*IF(AJ614=EUconst_tCO2pTJ,(AR615/1000),1)*AR614*AR616*AR619,"")</f>
        <v/>
      </c>
      <c r="BD615" s="524" t="str">
        <f>IF(K602=BD612,AR612*AR614*AR617*AR619,"")</f>
        <v/>
      </c>
      <c r="BE615" s="523"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3" t="b">
        <f>OR(BZ612,Y615=EUconst_NA)</f>
        <v>1</v>
      </c>
    </row>
    <row r="616" spans="1:78" s="142" customFormat="1" ht="12.75" hidden="1" customHeight="1" thickBot="1">
      <c r="A616" s="808"/>
      <c r="B616" s="166"/>
      <c r="C616" s="814" t="s">
        <v>199</v>
      </c>
      <c r="D616" s="512" t="str">
        <f>Translations!$B$638</f>
        <v>OksK:</v>
      </c>
      <c r="E616" s="513"/>
      <c r="F616" s="548"/>
      <c r="G616" s="1532" t="str">
        <f t="shared" si="140"/>
        <v/>
      </c>
      <c r="H616" s="1533"/>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3"/>
      <c r="Q616" s="33"/>
      <c r="R616" s="33"/>
      <c r="S616" s="30"/>
      <c r="T616" s="552" t="str">
        <f>EUconst_CNTR_OxidationFactor&amp;E603</f>
        <v>OxF_</v>
      </c>
      <c r="U616" s="497"/>
      <c r="V616" s="553" t="str">
        <f t="shared" si="146"/>
        <v/>
      </c>
      <c r="W616" s="30"/>
      <c r="X616" s="497"/>
      <c r="Y616" s="554" t="str">
        <f>IF(OR(T603=TRUE,E603=""),"",INDEX(EUwideConstants!$N:$N,MATCH(T616,EUwideConstants!$Q:$Q,0)))</f>
        <v/>
      </c>
      <c r="Z616" s="555" t="str">
        <f>IF(ISBLANK(F616),"",IF(F616=EUconst_NA,"",INDEX(EUwideConstants!$H:$M,MATCH(T616,EUwideConstants!$Q:$Q,0),MATCH(F616,CNTR_TierList,0))))</f>
        <v/>
      </c>
      <c r="AA616" s="534" t="str">
        <f>IF(F616=1,1,"")</f>
        <v/>
      </c>
      <c r="AB616" s="30"/>
      <c r="AC616" s="557" t="b">
        <f>AND(AC612,Y616&lt;&gt;EUconst_NA)</f>
        <v>0</v>
      </c>
      <c r="AD616" s="30"/>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0"/>
      <c r="AV616" s="567" t="b">
        <f t="shared" si="143"/>
        <v>0</v>
      </c>
      <c r="AW616" s="568" t="b">
        <f t="shared" si="144"/>
        <v>0</v>
      </c>
      <c r="AX616" s="30"/>
      <c r="AY616" s="594" t="b">
        <f t="shared" si="145"/>
        <v>0</v>
      </c>
      <c r="AZ616" s="531" t="b">
        <f>AR616&gt;100%</f>
        <v>0</v>
      </c>
      <c r="BA616" s="30"/>
      <c r="BB616" s="547" t="s">
        <v>290</v>
      </c>
      <c r="BC616" s="546" t="str">
        <f>IF(K602=BC612,AR612*IF(AJ614=EUconst_tCO2pTJ,(AR615/1000),1)*AR614*AR616*(1-AR619),"")</f>
        <v/>
      </c>
      <c r="BD616" s="524" t="str">
        <f>IF(K602=BD612,AR612*AR614*AR617*(1-AR619),"")</f>
        <v/>
      </c>
      <c r="BE616" s="523"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3" t="b">
        <f>OR(BZ612,Y616=EUconst_NA)</f>
        <v>1</v>
      </c>
    </row>
    <row r="617" spans="1:78" s="142" customFormat="1" ht="12.75" hidden="1" customHeight="1" thickBot="1">
      <c r="A617" s="808"/>
      <c r="B617" s="166"/>
      <c r="C617" s="814" t="s">
        <v>200</v>
      </c>
      <c r="D617" s="512" t="str">
        <f>Translations!$B$639</f>
        <v>KonvK:</v>
      </c>
      <c r="E617" s="513"/>
      <c r="F617" s="548"/>
      <c r="G617" s="1532" t="str">
        <f t="shared" si="140"/>
        <v/>
      </c>
      <c r="H617" s="1533"/>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3"/>
      <c r="Q617" s="33"/>
      <c r="R617" s="33"/>
      <c r="S617" s="30"/>
      <c r="T617" s="552" t="str">
        <f>EUconst_CNTR_ConversionFactor&amp;E603</f>
        <v>ConvF_</v>
      </c>
      <c r="U617" s="497"/>
      <c r="V617" s="553" t="str">
        <f t="shared" si="146"/>
        <v/>
      </c>
      <c r="W617" s="30"/>
      <c r="X617" s="497"/>
      <c r="Y617" s="554" t="str">
        <f>IF(OR(T603=TRUE,E603=""),"",INDEX(EUwideConstants!$N:$N,MATCH(T617,EUwideConstants!$Q:$Q,0)))</f>
        <v/>
      </c>
      <c r="Z617" s="555" t="str">
        <f>IF(ISBLANK(F617),"",IF(F617=EUconst_NA,"",INDEX(EUwideConstants!$H:$M,MATCH(T617,EUwideConstants!$Q:$Q,0),MATCH(F617,CNTR_TierList,0))))</f>
        <v/>
      </c>
      <c r="AA617" s="582" t="str">
        <f>IF(F617=1,1,"")</f>
        <v/>
      </c>
      <c r="AB617" s="30"/>
      <c r="AC617" s="557" t="b">
        <f>AND(AC612,Y617&lt;&gt;EUconst_NA)</f>
        <v>0</v>
      </c>
      <c r="AD617" s="30"/>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0"/>
      <c r="AV617" s="567" t="b">
        <f t="shared" si="143"/>
        <v>0</v>
      </c>
      <c r="AW617" s="568" t="b">
        <f t="shared" si="144"/>
        <v>0</v>
      </c>
      <c r="AX617" s="30"/>
      <c r="AY617" s="594" t="b">
        <f t="shared" si="145"/>
        <v>0</v>
      </c>
      <c r="AZ617" s="580" t="b">
        <f>AR617&gt;100%</f>
        <v>0</v>
      </c>
      <c r="BA617" s="30"/>
      <c r="BB617" s="578" t="s">
        <v>487</v>
      </c>
      <c r="BC617" s="579">
        <f>AR612*AR615/1000*(1-AR619)</f>
        <v>0</v>
      </c>
      <c r="BD617" s="580">
        <f>BC617</f>
        <v>0</v>
      </c>
      <c r="BE617" s="581">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3" t="b">
        <f>OR(BZ612,Y617=EUconst_NA)</f>
        <v>1</v>
      </c>
    </row>
    <row r="618" spans="1:78" s="142" customFormat="1" ht="12.75" hidden="1" customHeight="1" thickBot="1">
      <c r="A618" s="808"/>
      <c r="B618" s="166"/>
      <c r="C618" s="814" t="s">
        <v>329</v>
      </c>
      <c r="D618" s="512" t="str">
        <f>Translations!$B$640</f>
        <v>AnglK:</v>
      </c>
      <c r="E618" s="513"/>
      <c r="F618" s="548"/>
      <c r="G618" s="1532" t="str">
        <f t="shared" si="140"/>
        <v/>
      </c>
      <c r="H618" s="1533"/>
      <c r="I618" s="1170" t="str">
        <f>AJ618</f>
        <v/>
      </c>
      <c r="J618" s="586"/>
      <c r="K618" s="587" t="str">
        <f t="shared" si="141"/>
        <v/>
      </c>
      <c r="L618" s="588"/>
      <c r="M618" s="709" t="str">
        <f>IF(AND(E603&lt;&gt;"",OR(F618="",COUNT(K618:L618)=0),Y618&lt;&gt;EUconst_NA,T603&lt;&gt;TRUE),EUconst_ERR_Incomplete,IF(COUNTIF(AX618:AZ618,TRUE)&gt;0,EUconst_ERR_Inconsistent,""))</f>
        <v/>
      </c>
      <c r="O618" s="733"/>
      <c r="P618" s="33"/>
      <c r="Q618" s="33"/>
      <c r="R618" s="33"/>
      <c r="S618" s="30"/>
      <c r="T618" s="552" t="str">
        <f>EUconst_CNTR_CarbonContent&amp;E603</f>
        <v>CarbC_</v>
      </c>
      <c r="U618" s="497"/>
      <c r="V618" s="553" t="str">
        <f t="shared" si="146"/>
        <v/>
      </c>
      <c r="W618" s="30"/>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0"/>
      <c r="AC618" s="557" t="b">
        <f>AND(AC612,Y618&lt;&gt;EUconst_NA)</f>
        <v>0</v>
      </c>
      <c r="AD618" s="30"/>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0"/>
      <c r="AV618" s="567" t="b">
        <f t="shared" si="143"/>
        <v>0</v>
      </c>
      <c r="AW618" s="568" t="b">
        <f t="shared" si="144"/>
        <v>0</v>
      </c>
      <c r="AX618" s="546" t="b">
        <f>OR(AND(AJ612=EUconst_kNm3,AJ618=EUconst_tCpt),AND(AJ612=EUconst_t,AJ618=EUconst_tCpkNm3))</f>
        <v>0</v>
      </c>
      <c r="AY618" s="553" t="b">
        <f t="shared" si="145"/>
        <v>0</v>
      </c>
      <c r="AZ618" s="30"/>
      <c r="BA618" s="30"/>
      <c r="BB618" s="578" t="s">
        <v>488</v>
      </c>
      <c r="BC618" s="579">
        <f>AR612*AR615/1000*AR619</f>
        <v>0</v>
      </c>
      <c r="BD618" s="580">
        <f>BC618</f>
        <v>0</v>
      </c>
      <c r="BE618" s="581">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3" t="b">
        <f>OR(BZ612,Y618=EUconst_NA)</f>
        <v>1</v>
      </c>
    </row>
    <row r="619" spans="1:78" s="142" customFormat="1" ht="12.75" hidden="1" customHeight="1" thickBot="1">
      <c r="A619" s="808"/>
      <c r="B619" s="166"/>
      <c r="C619" s="777" t="s">
        <v>330</v>
      </c>
      <c r="D619" s="512" t="str">
        <f>Translations!$B$641</f>
        <v>BioC:</v>
      </c>
      <c r="E619" s="513"/>
      <c r="F619" s="548"/>
      <c r="G619" s="1532" t="str">
        <f t="shared" si="140"/>
        <v/>
      </c>
      <c r="H619" s="1533"/>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0"/>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0"/>
      <c r="AC619" s="557" t="b">
        <f>AND(AC612,Y619&lt;&gt;EUconst_NA)</f>
        <v>0</v>
      </c>
      <c r="AD619" s="30"/>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0"/>
      <c r="AV619" s="567" t="b">
        <f t="shared" si="143"/>
        <v>0</v>
      </c>
      <c r="AW619" s="568" t="b">
        <f t="shared" si="144"/>
        <v>0</v>
      </c>
      <c r="AX619" s="30"/>
      <c r="AY619" s="594" t="b">
        <f t="shared" si="145"/>
        <v>0</v>
      </c>
      <c r="AZ619" s="531"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3" t="b">
        <f>OR(BZ612,Y619=EUconst_NA)</f>
        <v>1</v>
      </c>
    </row>
    <row r="620" spans="1:78" s="142" customFormat="1" ht="12.75" hidden="1" customHeight="1" thickBot="1">
      <c r="A620" s="808"/>
      <c r="B620" s="166"/>
      <c r="C620" s="777" t="s">
        <v>454</v>
      </c>
      <c r="D620" s="512" t="str">
        <f>Translations!$B$647</f>
        <v>Netvar. BioC:</v>
      </c>
      <c r="E620" s="513"/>
      <c r="F620" s="597"/>
      <c r="G620" s="1532" t="str">
        <f t="shared" si="140"/>
        <v/>
      </c>
      <c r="H620" s="1533"/>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0"/>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0"/>
      <c r="AC620" s="603" t="b">
        <f>AND(AC612,Y620&lt;&gt;EUconst_NA)</f>
        <v>0</v>
      </c>
      <c r="AD620" s="30"/>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0"/>
      <c r="AV620" s="613" t="b">
        <f t="shared" si="143"/>
        <v>0</v>
      </c>
      <c r="AW620" s="614" t="b">
        <f t="shared" si="144"/>
        <v>0</v>
      </c>
      <c r="AX620" s="30"/>
      <c r="AY620" s="579" t="b">
        <f t="shared" si="145"/>
        <v>0</v>
      </c>
      <c r="AZ620" s="580"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80" t="b">
        <f>OR(BZ612,Y620=EUconst_NA)</f>
        <v>1</v>
      </c>
    </row>
    <row r="621" spans="1:78" s="142" customFormat="1" ht="5.0999999999999996" hidden="1" customHeight="1" thickBot="1">
      <c r="A621" s="808"/>
      <c r="B621" s="166"/>
      <c r="C621" s="166"/>
      <c r="D621" s="180"/>
      <c r="O621" s="733"/>
      <c r="P621" s="33"/>
      <c r="Q621" s="33"/>
      <c r="R621" s="33"/>
      <c r="S621" s="174"/>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hidden="1" customHeight="1" thickBot="1">
      <c r="A622" s="808"/>
      <c r="B622" s="166"/>
      <c r="C622" s="166"/>
      <c r="D622" s="1558" t="str">
        <f>Translations!$B$674</f>
        <v>Pakopos galioja nuo:</v>
      </c>
      <c r="E622" s="1558"/>
      <c r="F622" s="1559"/>
      <c r="G622" s="1052"/>
      <c r="H622" s="615" t="str">
        <f>Translations!$B$675</f>
        <v>iki:</v>
      </c>
      <c r="I622" s="1052"/>
      <c r="J622" s="1536" t="str">
        <f>Translations!$B$676</f>
        <v>Atliekų katalogo numeris (jeigu taikytina):</v>
      </c>
      <c r="K622" s="1537"/>
      <c r="L622" s="1537"/>
      <c r="M622" s="1538"/>
      <c r="N622" s="1289"/>
      <c r="O622" s="733"/>
      <c r="P622" s="33"/>
      <c r="Q622" s="33"/>
      <c r="R622" s="33"/>
      <c r="S622" s="1290"/>
      <c r="T622" s="492"/>
      <c r="U622" s="492"/>
      <c r="V622" s="48" t="b">
        <f>IF(V612="",FALSE,INDEX(CNTR_IsWaste,MATCH(V612,MSParameters!$A$218:$A$376,0)))</f>
        <v>0</v>
      </c>
      <c r="W622" s="1290"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4.5" hidden="1" customHeight="1" thickBot="1">
      <c r="A623" s="808"/>
      <c r="B623" s="166"/>
      <c r="C623" s="166"/>
      <c r="D623" s="615"/>
      <c r="E623" s="495"/>
      <c r="F623" s="495"/>
      <c r="G623" s="495"/>
      <c r="H623" s="495"/>
      <c r="I623" s="495"/>
      <c r="J623" s="495"/>
      <c r="K623" s="495"/>
      <c r="L623" s="495"/>
      <c r="M623" s="495"/>
      <c r="N623" s="495"/>
      <c r="O623" s="733"/>
      <c r="P623" s="33"/>
      <c r="Q623" s="33"/>
      <c r="R623" s="33"/>
      <c r="S623" s="174"/>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hidden="1" customHeight="1" thickBot="1">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3"/>
      <c r="Q624" s="33"/>
      <c r="R624" s="33"/>
      <c r="S624" s="174"/>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hidden="1" customHeight="1" thickBot="1">
      <c r="A625" s="815"/>
      <c r="D625" s="180"/>
      <c r="O625" s="573"/>
      <c r="P625" s="497"/>
      <c r="Q625" s="497"/>
      <c r="R625" s="497"/>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ht="13.5" hidden="1" thickBot="1">
      <c r="A626" s="815"/>
      <c r="D626" s="1534" t="str">
        <f>Translations!$B$160</f>
        <v>Pastabos:</v>
      </c>
      <c r="E626" s="1535"/>
      <c r="F626" s="1539"/>
      <c r="G626" s="1540"/>
      <c r="H626" s="1540"/>
      <c r="I626" s="1540"/>
      <c r="J626" s="1540"/>
      <c r="K626" s="1540"/>
      <c r="L626" s="1540"/>
      <c r="M626" s="1540"/>
      <c r="N626" s="1541"/>
      <c r="O626" s="573"/>
      <c r="P626" s="497"/>
      <c r="Q626" s="497"/>
      <c r="R626" s="497"/>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c r="A627" s="808"/>
      <c r="B627" s="495"/>
      <c r="C627" s="499"/>
      <c r="D627" s="500"/>
      <c r="E627" s="501"/>
      <c r="F627" s="499"/>
      <c r="G627" s="502"/>
      <c r="H627" s="502"/>
      <c r="I627" s="502"/>
      <c r="J627" s="502"/>
      <c r="K627" s="502"/>
      <c r="L627" s="502"/>
      <c r="M627" s="502"/>
      <c r="N627" s="502"/>
      <c r="O627" s="740"/>
      <c r="P627" s="494"/>
      <c r="Q627" s="494"/>
      <c r="R627" s="494"/>
      <c r="S627" s="58"/>
      <c r="T627" s="58"/>
      <c r="U627" s="498"/>
      <c r="V627" s="58"/>
      <c r="W627" s="58"/>
      <c r="X627" s="49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c r="A628" s="813"/>
      <c r="B628" s="495"/>
      <c r="C628" s="495"/>
      <c r="D628" s="180"/>
      <c r="E628" s="496"/>
      <c r="F628" s="495"/>
      <c r="G628" s="487"/>
      <c r="H628" s="487"/>
      <c r="I628" s="487"/>
      <c r="J628" s="487"/>
      <c r="K628" s="495"/>
      <c r="L628" s="487"/>
      <c r="M628" s="487"/>
      <c r="N628" s="487"/>
      <c r="O628" s="740"/>
      <c r="P628" s="494"/>
      <c r="Q628" s="494"/>
      <c r="R628" s="494"/>
      <c r="S628" s="23"/>
      <c r="T628" s="27" t="str">
        <f>IF(ISBLANK(E629),"",MATCH(E629,CNTR_SourceStreamNames,0))</f>
        <v/>
      </c>
      <c r="U628" s="618"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1"/>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3" t="s">
        <v>262</v>
      </c>
    </row>
    <row r="629" spans="1:78" s="142" customFormat="1" ht="15" hidden="1" customHeight="1" thickBot="1">
      <c r="A629" s="869" t="str">
        <f>IF(E629="","","PRINT")</f>
        <v/>
      </c>
      <c r="B629" s="166"/>
      <c r="C629" s="617">
        <f>C602+1</f>
        <v>22</v>
      </c>
      <c r="D629" s="166"/>
      <c r="E629" s="1542"/>
      <c r="F629" s="1543"/>
      <c r="G629" s="1543"/>
      <c r="H629" s="1543"/>
      <c r="I629" s="1543"/>
      <c r="J629" s="1544"/>
      <c r="K629" s="1545" t="str">
        <f>IF(E630="","",INDEX(EUwideConstants!$F$353:$F$394,MATCH(E630,EUConst_TierActivityListNames,0)))</f>
        <v/>
      </c>
      <c r="L629" s="1546"/>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3"/>
      <c r="T629" s="509" t="s">
        <v>393</v>
      </c>
      <c r="U629" s="23"/>
      <c r="V629" s="78"/>
      <c r="W629" s="56"/>
      <c r="X629" s="58"/>
      <c r="Y629" s="58"/>
      <c r="Z629" s="58"/>
      <c r="AA629" s="58"/>
      <c r="AB629" s="58"/>
      <c r="AC629" s="58"/>
      <c r="AD629" s="58"/>
      <c r="AE629" s="58"/>
      <c r="AF629" s="58"/>
      <c r="AG629" s="58"/>
      <c r="AH629" s="58"/>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6"/>
      <c r="BZ629" s="619" t="b">
        <f>CNTR_CalcRelevant=EUconst_NotRelevant</f>
        <v>0</v>
      </c>
    </row>
    <row r="630" spans="1:78" s="142" customFormat="1" ht="15" hidden="1" customHeight="1" thickBot="1">
      <c r="A630" s="808"/>
      <c r="B630" s="166"/>
      <c r="C630" s="166"/>
      <c r="D630" s="166"/>
      <c r="E630" s="1547" t="str">
        <f>IF(ISBLANK(E629),"",IF(INDEX(B_InstallationDescription!$E$71:$E$145,MATCH(U628,B_InstallationDescription!$D$71:$D$145,0))&gt;0,INDEX(B_InstallationDescription!$E$71:$E$145,MATCH(U628,B_InstallationDescription!$D$71:$D$145,0)),""))</f>
        <v/>
      </c>
      <c r="F630" s="1548"/>
      <c r="G630" s="1548"/>
      <c r="H630" s="1548"/>
      <c r="I630" s="1548"/>
      <c r="J630" s="1549"/>
      <c r="M630" s="346" t="str">
        <f>Translations!$B$666</f>
        <v>CO2, biomasės kilmės.:</v>
      </c>
      <c r="N630" s="1051" t="str">
        <f>IF(OR(K629="",T630=TRUE),"",INDEX(BC642:BE642,MATCH(K629,BC639:BE639,0)))</f>
        <v/>
      </c>
      <c r="O630" s="742" t="s">
        <v>260</v>
      </c>
      <c r="P630" s="494"/>
      <c r="Q630" s="352" t="str">
        <f>EUconst_SumBioCO2 &amp; "_" &amp; K629</f>
        <v>SUM_bioCO2_</v>
      </c>
      <c r="R630" s="494"/>
      <c r="S630" s="23"/>
      <c r="T630" s="48" t="str">
        <f>IF(E630="","",MATCH(E630,EUConst_TierActivityListNames,0)&gt;40)</f>
        <v/>
      </c>
      <c r="U630" s="23"/>
      <c r="V630" s="78"/>
      <c r="W630" s="56"/>
      <c r="X630" s="58"/>
      <c r="Y630" s="27" t="s">
        <v>93</v>
      </c>
      <c r="Z630" s="30"/>
      <c r="AA630" s="30"/>
      <c r="AB630" s="30"/>
      <c r="AC630" s="30"/>
      <c r="AD630" s="30"/>
      <c r="AE630" s="27" t="s">
        <v>302</v>
      </c>
      <c r="AF630" s="58"/>
      <c r="AG630" s="504"/>
      <c r="AH630" s="30"/>
      <c r="AI630" s="30"/>
      <c r="AJ630" s="504"/>
      <c r="AK630" s="504"/>
      <c r="AL630" s="342"/>
      <c r="AM630" s="27" t="s">
        <v>308</v>
      </c>
      <c r="AN630" s="505"/>
      <c r="AO630" s="505"/>
      <c r="AP630" s="30"/>
      <c r="AQ630" s="30"/>
      <c r="AR630" s="30"/>
      <c r="AS630" s="30"/>
      <c r="AT630" s="30"/>
      <c r="AU630" s="30"/>
      <c r="AV630" s="27" t="s">
        <v>315</v>
      </c>
      <c r="AW630" s="30"/>
      <c r="AX630" s="492"/>
      <c r="AY630" s="30"/>
      <c r="AZ630" s="30"/>
      <c r="BA630" s="30"/>
      <c r="BB630" s="27" t="s">
        <v>219</v>
      </c>
      <c r="BC630" s="30"/>
      <c r="BD630" s="30"/>
      <c r="BE630" s="30"/>
      <c r="BF630" s="30"/>
      <c r="BG630" s="27"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0"/>
      <c r="BZ630" s="30"/>
    </row>
    <row r="631" spans="1:78" s="142" customFormat="1" ht="4.5" hidden="1" customHeight="1" thickBot="1">
      <c r="A631" s="808"/>
      <c r="B631" s="166"/>
      <c r="C631" s="166"/>
      <c r="D631" s="166"/>
      <c r="E631" s="166"/>
      <c r="F631" s="166"/>
      <c r="G631" s="166"/>
      <c r="M631" s="143"/>
      <c r="N631" s="143"/>
      <c r="O631" s="733"/>
      <c r="P631" s="33"/>
      <c r="Q631" s="33"/>
      <c r="R631" s="33"/>
      <c r="S631" s="23"/>
      <c r="T631" s="23"/>
      <c r="U631" s="23"/>
      <c r="V631" s="78"/>
      <c r="W631" s="30"/>
      <c r="X631" s="30"/>
      <c r="Y631" s="494"/>
      <c r="Z631" s="30"/>
      <c r="AA631" s="30"/>
      <c r="AB631" s="30"/>
      <c r="AC631" s="30"/>
      <c r="AD631" s="30"/>
      <c r="AE631" s="30"/>
      <c r="AF631" s="58"/>
      <c r="AG631" s="30"/>
      <c r="AH631" s="30"/>
      <c r="AI631" s="30"/>
      <c r="AJ631" s="504"/>
      <c r="AK631" s="504"/>
      <c r="AL631" s="342"/>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hidden="1" customHeight="1" thickBot="1">
      <c r="A632" s="808"/>
      <c r="B632" s="166"/>
      <c r="C632" s="166"/>
      <c r="D632" s="166"/>
      <c r="E632" s="1550" t="str">
        <f>IF(E629="","",IF(T630=TRUE,HYPERLINK("#JUMP_14",EUconst_MsgGoOnPFC),HYPERLINK("#JUMP_E_8",EUconst_FurtherGuidancePoint1)))</f>
        <v/>
      </c>
      <c r="F632" s="1550"/>
      <c r="G632" s="1550"/>
      <c r="H632" s="1550"/>
      <c r="I632" s="1550"/>
      <c r="J632" s="1550"/>
      <c r="K632" s="1550"/>
      <c r="L632" s="1550"/>
      <c r="M632" s="1550"/>
      <c r="N632" s="143"/>
      <c r="O632" s="733"/>
      <c r="P632" s="33"/>
      <c r="Q632" s="352" t="str">
        <f>EUconst_SumNonSustBioCO2 &amp; "_" &amp; K629</f>
        <v>SUM_bioNonSustCO2_</v>
      </c>
      <c r="R632" s="707"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4"/>
      <c r="AK632" s="504"/>
      <c r="AL632" s="342"/>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4.5" hidden="1" customHeight="1" thickBot="1">
      <c r="A633" s="808"/>
      <c r="B633" s="166"/>
      <c r="C633" s="166"/>
      <c r="D633" s="166"/>
      <c r="E633" s="166"/>
      <c r="F633" s="166"/>
      <c r="G633" s="166"/>
      <c r="M633" s="143"/>
      <c r="N633" s="143"/>
      <c r="O633" s="733"/>
      <c r="P633" s="23"/>
      <c r="Q633" s="23"/>
      <c r="R633" s="23"/>
      <c r="S633" s="23"/>
      <c r="T633" s="23"/>
      <c r="U633" s="23"/>
      <c r="V633" s="30"/>
      <c r="W633" s="30"/>
      <c r="X633" s="30"/>
      <c r="Y633" s="494"/>
      <c r="Z633" s="30"/>
      <c r="AA633" s="30"/>
      <c r="AB633" s="30"/>
      <c r="AC633" s="30"/>
      <c r="AD633" s="30"/>
      <c r="AE633" s="30"/>
      <c r="AF633" s="58"/>
      <c r="AG633" s="30"/>
      <c r="AH633" s="30"/>
      <c r="AI633" s="30"/>
      <c r="AJ633" s="504"/>
      <c r="AK633" s="504"/>
      <c r="AL633" s="342"/>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5" hidden="1" customHeight="1" thickBot="1">
      <c r="A634" s="808"/>
      <c r="B634" s="166"/>
      <c r="C634" s="814" t="s">
        <v>4</v>
      </c>
      <c r="D634" s="512" t="str">
        <f>Translations!$B$622</f>
        <v>VD:</v>
      </c>
      <c r="E634" s="1560" t="str">
        <f>Translations!$B$667</f>
        <v>Ar veiklos duomenys gaunami sudedant išmatuotus kiekius (t. y. ne atliekant nuolatinius matavimus)?</v>
      </c>
      <c r="F634" s="1560"/>
      <c r="G634" s="1560"/>
      <c r="H634" s="1560"/>
      <c r="I634" s="1560"/>
      <c r="J634" s="1560"/>
      <c r="K634" s="1560"/>
      <c r="L634" s="1179"/>
      <c r="M634" s="507"/>
      <c r="O634" s="733"/>
      <c r="P634" s="23"/>
      <c r="Q634" s="23"/>
      <c r="R634" s="23"/>
      <c r="S634" s="23"/>
      <c r="T634" s="23"/>
      <c r="U634" s="23"/>
      <c r="V634" s="30"/>
      <c r="W634" s="30"/>
      <c r="X634" s="30"/>
      <c r="Y634" s="494"/>
      <c r="Z634" s="30"/>
      <c r="AA634" s="30"/>
      <c r="AB634" s="30"/>
      <c r="AC634" s="1172" t="b">
        <f>AND(E629&lt;&gt;"",T630&lt;&gt;TRUE)</f>
        <v>0</v>
      </c>
      <c r="AD634" s="30"/>
      <c r="AE634" s="30"/>
      <c r="AF634" s="58"/>
      <c r="AG634" s="30"/>
      <c r="AH634" s="30"/>
      <c r="AI634" s="30"/>
      <c r="AJ634" s="504"/>
      <c r="AK634" s="504"/>
      <c r="AL634" s="342"/>
      <c r="AM634" s="30"/>
      <c r="AN634" s="30"/>
      <c r="AO634" s="30"/>
      <c r="AP634" s="30"/>
      <c r="AQ634" s="30"/>
      <c r="AR634" s="30"/>
      <c r="AS634" s="30"/>
      <c r="AT634" s="1172"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2" t="b">
        <f>OR(CNTR_CalcRelevant=EUconst_NotRelevant,AND(COUNTA(CNTR_ListRelevantSections)&gt;0,OR(T630=TRUE,E629="")))</f>
        <v>1</v>
      </c>
    </row>
    <row r="635" spans="1:78" s="142" customFormat="1" ht="4.5" hidden="1" customHeight="1">
      <c r="A635" s="808"/>
      <c r="B635" s="166"/>
      <c r="C635" s="166"/>
      <c r="D635" s="166"/>
      <c r="E635" s="166"/>
      <c r="F635" s="166"/>
      <c r="G635" s="166"/>
      <c r="H635" s="495"/>
      <c r="I635" s="495"/>
      <c r="J635" s="495"/>
      <c r="K635" s="495"/>
      <c r="L635" s="495"/>
      <c r="M635" s="507"/>
      <c r="O635" s="733"/>
      <c r="P635" s="23"/>
      <c r="Q635" s="23"/>
      <c r="R635" s="23"/>
      <c r="S635" s="23"/>
      <c r="T635" s="23"/>
      <c r="U635" s="23"/>
      <c r="V635" s="30"/>
      <c r="W635" s="30"/>
      <c r="X635" s="30"/>
      <c r="Y635" s="494"/>
      <c r="Z635" s="30"/>
      <c r="AA635" s="30"/>
      <c r="AB635" s="30"/>
      <c r="AC635" s="492"/>
      <c r="AD635" s="30"/>
      <c r="AE635" s="30"/>
      <c r="AF635" s="58"/>
      <c r="AG635" s="30"/>
      <c r="AH635" s="30"/>
      <c r="AI635" s="30"/>
      <c r="AJ635" s="504"/>
      <c r="AK635" s="504"/>
      <c r="AL635" s="342"/>
      <c r="AM635" s="30"/>
      <c r="AN635" s="30"/>
      <c r="AO635" s="30"/>
      <c r="AP635" s="30"/>
      <c r="AQ635" s="30"/>
      <c r="AR635" s="30"/>
      <c r="AS635" s="30"/>
      <c r="AT635" s="492"/>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2"/>
    </row>
    <row r="636" spans="1:78" s="142" customFormat="1" ht="12.75" hidden="1" customHeight="1" thickBot="1">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3"/>
      <c r="Q636" s="23"/>
      <c r="R636" s="23"/>
      <c r="S636" s="23"/>
      <c r="T636" s="23"/>
      <c r="U636" s="23"/>
      <c r="V636" s="30"/>
      <c r="W636" s="30"/>
      <c r="X636" s="30"/>
      <c r="Y636" s="494"/>
      <c r="Z636" s="30"/>
      <c r="AA636" s="30"/>
      <c r="AB636" s="30"/>
      <c r="AC636" s="1172" t="b">
        <f>AC634</f>
        <v>0</v>
      </c>
      <c r="AD636" s="30"/>
      <c r="AE636" s="30"/>
      <c r="AF636" s="58"/>
      <c r="AG636" s="30"/>
      <c r="AH636" s="30"/>
      <c r="AI636" s="30"/>
      <c r="AJ636" s="504"/>
      <c r="AK636" s="504"/>
      <c r="AL636" s="342"/>
      <c r="AM636" s="30"/>
      <c r="AN636" s="30"/>
      <c r="AO636" s="30"/>
      <c r="AP636" s="30"/>
      <c r="AQ636" s="30"/>
      <c r="AR636" s="30"/>
      <c r="AS636" s="30"/>
      <c r="AT636" s="1172"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2" t="b">
        <f>OR(BZ634,AND(NOT(ISBLANK(L634)),L634=FALSE))</f>
        <v>1</v>
      </c>
    </row>
    <row r="637" spans="1:78" s="142" customFormat="1" ht="5.0999999999999996" hidden="1" customHeight="1">
      <c r="A637" s="808"/>
      <c r="B637" s="166"/>
      <c r="C637" s="166"/>
      <c r="D637" s="166"/>
      <c r="E637" s="166"/>
      <c r="F637" s="166"/>
      <c r="G637" s="166"/>
      <c r="M637" s="143"/>
      <c r="N637" s="143"/>
      <c r="O637" s="733"/>
      <c r="P637" s="23"/>
      <c r="Q637" s="23"/>
      <c r="R637" s="23"/>
      <c r="S637" s="23"/>
      <c r="T637" s="23"/>
      <c r="U637" s="23"/>
      <c r="V637" s="30"/>
      <c r="W637" s="30"/>
      <c r="X637" s="30"/>
      <c r="Y637" s="494"/>
      <c r="Z637" s="30"/>
      <c r="AA637" s="30"/>
      <c r="AB637" s="30"/>
      <c r="AC637" s="30"/>
      <c r="AD637" s="30"/>
      <c r="AE637" s="30"/>
      <c r="AF637" s="58"/>
      <c r="AG637" s="30"/>
      <c r="AH637" s="30"/>
      <c r="AI637" s="30"/>
      <c r="AJ637" s="504"/>
      <c r="AK637" s="504"/>
      <c r="AL637" s="342"/>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hidden="1" customHeight="1" thickBot="1">
      <c r="A638" s="808"/>
      <c r="B638" s="166"/>
      <c r="C638" s="166"/>
      <c r="D638" s="166"/>
      <c r="E638" s="166"/>
      <c r="F638" s="506" t="str">
        <f>Translations!$B$333</f>
        <v>Pakopa</v>
      </c>
      <c r="G638" s="1557" t="str">
        <f>Translations!$B$672</f>
        <v>pakopos aprašas</v>
      </c>
      <c r="H638" s="1557"/>
      <c r="I638" s="1555" t="str">
        <f>Translations!$B$158</f>
        <v>Vienetas</v>
      </c>
      <c r="J638" s="1555"/>
      <c r="K638" s="1555" t="str">
        <f>Translations!$B$673</f>
        <v>Vertė</v>
      </c>
      <c r="L638" s="1555"/>
      <c r="M638" s="507" t="str">
        <f>Translations!$B$610</f>
        <v>klaida</v>
      </c>
      <c r="O638" s="733"/>
      <c r="P638" s="508"/>
      <c r="Q638" s="352" t="str">
        <f>EUconst_SumEnergyIN &amp; "_" &amp; K629</f>
        <v>SUM_EnergyIN_</v>
      </c>
      <c r="R638" s="399" t="str">
        <f>IF(OR(K629="",T630)=TRUE,"",INDEX(BC644:BE644,MATCH(K629,BC639:BE639,0)))</f>
        <v/>
      </c>
      <c r="S638" s="30"/>
      <c r="T638" s="489"/>
      <c r="U638" s="30"/>
      <c r="V638" s="509" t="s">
        <v>303</v>
      </c>
      <c r="W638" s="30"/>
      <c r="X638" s="30"/>
      <c r="Y638" s="494" t="s">
        <v>566</v>
      </c>
      <c r="Z638" s="494" t="s">
        <v>318</v>
      </c>
      <c r="AA638" s="30"/>
      <c r="AB638" s="30"/>
      <c r="AC638" s="505" t="s">
        <v>309</v>
      </c>
      <c r="AD638" s="30"/>
      <c r="AE638" s="30"/>
      <c r="AF638" s="492" t="s">
        <v>305</v>
      </c>
      <c r="AG638" s="492" t="s">
        <v>306</v>
      </c>
      <c r="AH638" s="494" t="s">
        <v>304</v>
      </c>
      <c r="AI638" s="504" t="s">
        <v>307</v>
      </c>
      <c r="AJ638" s="504" t="s">
        <v>567</v>
      </c>
      <c r="AK638" s="510" t="s">
        <v>311</v>
      </c>
      <c r="AL638" s="342"/>
      <c r="AM638" s="30"/>
      <c r="AN638" s="492" t="s">
        <v>305</v>
      </c>
      <c r="AO638" s="492" t="s">
        <v>306</v>
      </c>
      <c r="AP638" s="511" t="s">
        <v>310</v>
      </c>
      <c r="AQ638" s="504" t="s">
        <v>569</v>
      </c>
      <c r="AR638" s="504" t="s">
        <v>568</v>
      </c>
      <c r="AS638" s="510" t="s">
        <v>311</v>
      </c>
      <c r="AT638" s="510" t="s">
        <v>311</v>
      </c>
      <c r="AU638" s="30"/>
      <c r="AV638" s="492"/>
      <c r="AW638" s="492"/>
      <c r="AX638" s="492" t="s">
        <v>321</v>
      </c>
      <c r="AY638" s="492"/>
      <c r="AZ638" s="492"/>
      <c r="BA638" s="492"/>
      <c r="BB638" s="492"/>
      <c r="BC638" s="492"/>
      <c r="BD638" s="492"/>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3" t="s">
        <v>262</v>
      </c>
    </row>
    <row r="639" spans="1:78" s="142" customFormat="1" ht="12.75" hidden="1" customHeight="1" thickBot="1">
      <c r="A639" s="808"/>
      <c r="B639" s="166"/>
      <c r="C639" s="777" t="s">
        <v>196</v>
      </c>
      <c r="D639" s="512" t="str">
        <f>Translations!$B$622</f>
        <v>VD:</v>
      </c>
      <c r="E639" s="513"/>
      <c r="F639" s="402"/>
      <c r="G639" s="1532" t="str">
        <f>IF(OR(ISBLANK(F639),F639=EUconst_NoTier),"",IF(Z639=0,EUconst_NA,IF(ISERROR(Z639),"",Z639)))</f>
        <v/>
      </c>
      <c r="H639" s="1533"/>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0"/>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0"/>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0"/>
      <c r="AV639" s="492" t="s">
        <v>314</v>
      </c>
      <c r="AW639" s="492" t="s">
        <v>319</v>
      </c>
      <c r="AX639" s="524"/>
      <c r="AY639" s="30" t="s">
        <v>542</v>
      </c>
      <c r="AZ639" s="30"/>
      <c r="BA639" s="30"/>
      <c r="BB639" s="504"/>
      <c r="BC639" s="493" t="str">
        <f>EUconst_Fuel</f>
        <v>Degimas</v>
      </c>
      <c r="BD639" s="493" t="str">
        <f>EUconst_ProcessCarbonate</f>
        <v>Proceso metu išsiskiriančios ŠESD</v>
      </c>
      <c r="BE639" s="493"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4" t="b">
        <f>BZ634</f>
        <v>1</v>
      </c>
    </row>
    <row r="640" spans="1:78" s="142" customFormat="1" ht="5.0999999999999996" hidden="1" customHeight="1">
      <c r="A640" s="808"/>
      <c r="B640" s="166"/>
      <c r="C640" s="814"/>
      <c r="D640" s="306"/>
      <c r="F640" s="143"/>
      <c r="G640" s="143"/>
      <c r="H640" s="143" t="s">
        <v>236</v>
      </c>
      <c r="I640" s="525"/>
      <c r="J640" s="525"/>
      <c r="K640" s="143"/>
      <c r="L640" s="143"/>
      <c r="M640" s="710"/>
      <c r="O640" s="733"/>
      <c r="P640" s="33"/>
      <c r="Q640" s="33"/>
      <c r="R640" s="33"/>
      <c r="S640" s="30"/>
      <c r="T640" s="155"/>
      <c r="U640" s="497"/>
      <c r="V640" s="30"/>
      <c r="W640" s="30"/>
      <c r="X640" s="497"/>
      <c r="Y640" s="526"/>
      <c r="Z640" s="30"/>
      <c r="AA640" s="30"/>
      <c r="AB640" s="30"/>
      <c r="AC640" s="30"/>
      <c r="AD640" s="30"/>
      <c r="AE640" s="30"/>
      <c r="AF640" s="30"/>
      <c r="AG640" s="30"/>
      <c r="AH640" s="30"/>
      <c r="AI640" s="30"/>
      <c r="AJ640" s="30"/>
      <c r="AK640" s="30"/>
      <c r="AL640" s="342"/>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3"/>
    </row>
    <row r="641" spans="1:78" s="142" customFormat="1" ht="12.75" hidden="1" customHeight="1" thickBot="1">
      <c r="A641" s="808"/>
      <c r="B641" s="166"/>
      <c r="C641" s="814" t="s">
        <v>197</v>
      </c>
      <c r="D641" s="512" t="str">
        <f>Translations!$B$634</f>
        <v>(prelim.) ITF:</v>
      </c>
      <c r="E641" s="513"/>
      <c r="F641" s="527"/>
      <c r="G641" s="1532" t="str">
        <f t="shared" ref="G641:G647" si="147">IF(OR(ISBLANK(F641),F641=EUconst_NoTier),"",IF(Z641=0,EUconst_NotApplicable,IF(ISERROR(Z641),"",Z641)))</f>
        <v/>
      </c>
      <c r="H641" s="1556"/>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3"/>
      <c r="Q641" s="33"/>
      <c r="R641" s="33"/>
      <c r="S641" s="30"/>
      <c r="T641" s="530" t="str">
        <f>EUconst_CNTR_EF&amp;E630</f>
        <v>EF_</v>
      </c>
      <c r="U641" s="497"/>
      <c r="V641" s="531" t="str">
        <f>V639</f>
        <v/>
      </c>
      <c r="W641" s="30"/>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0"/>
      <c r="AC641" s="535" t="b">
        <f>AND(AC639,Y641&lt;&gt;EUconst_NA)</f>
        <v>0</v>
      </c>
      <c r="AD641" s="30"/>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0"/>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0"/>
      <c r="BA641" s="30"/>
      <c r="BB641" s="547" t="s">
        <v>594</v>
      </c>
      <c r="BC641" s="546" t="str">
        <f>IF(K629=BC639,AR639*IF(AJ641=EUconst_tCO2pTJ,(AR642/1000),1)*AR641*AR643*AR647,"")</f>
        <v/>
      </c>
      <c r="BD641" s="524" t="str">
        <f>IF(K629=BD639,AR639*AR641*AR644*AR647,"")</f>
        <v/>
      </c>
      <c r="BE641" s="523"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1" t="b">
        <f>OR(BZ639,Y641=EUconst_NA)</f>
        <v>1</v>
      </c>
    </row>
    <row r="642" spans="1:78" s="142" customFormat="1" ht="12.75" hidden="1" customHeight="1" thickBot="1">
      <c r="A642" s="808"/>
      <c r="B642" s="166"/>
      <c r="C642" s="814" t="s">
        <v>198</v>
      </c>
      <c r="D642" s="512" t="str">
        <f>Translations!$B$636</f>
        <v>GŠV:</v>
      </c>
      <c r="E642" s="513"/>
      <c r="F642" s="548"/>
      <c r="G642" s="1532" t="str">
        <f t="shared" si="147"/>
        <v/>
      </c>
      <c r="H642" s="1533"/>
      <c r="I642" s="1169" t="str">
        <f>AJ642</f>
        <v/>
      </c>
      <c r="J642" s="549"/>
      <c r="K642" s="550" t="str">
        <f t="shared" si="148"/>
        <v/>
      </c>
      <c r="L642" s="551"/>
      <c r="M642" s="709" t="str">
        <f>IF(AND(E630&lt;&gt;"",OR(F642="",COUNT(K642:L642)=0),Y642&lt;&gt;EUconst_NA,T630&lt;&gt;TRUE),EUconst_ERR_Incomplete,IF(COUNTIF(AX642:AZ642,TRUE)&gt;0,EUconst_ERR_Inconsistent,""))</f>
        <v/>
      </c>
      <c r="O642" s="733"/>
      <c r="P642" s="33"/>
      <c r="Q642" s="33"/>
      <c r="R642" s="33"/>
      <c r="S642" s="30"/>
      <c r="T642" s="552" t="str">
        <f>EUconst_CNTR_NCV&amp;E630</f>
        <v>NCV_</v>
      </c>
      <c r="U642" s="497"/>
      <c r="V642" s="553" t="str">
        <f t="shared" ref="V642:V647" si="153">V641</f>
        <v/>
      </c>
      <c r="W642" s="30"/>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0"/>
      <c r="AC642" s="557" t="b">
        <f>AND(AC639,Y642&lt;&gt;EUconst_NA)</f>
        <v>0</v>
      </c>
      <c r="AD642" s="30"/>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0"/>
      <c r="AV642" s="567" t="b">
        <f t="shared" si="150"/>
        <v>0</v>
      </c>
      <c r="AW642" s="568" t="b">
        <f t="shared" si="151"/>
        <v>0</v>
      </c>
      <c r="AX642" s="30"/>
      <c r="AY642" s="553" t="b">
        <f t="shared" si="152"/>
        <v>0</v>
      </c>
      <c r="AZ642" s="30"/>
      <c r="BA642" s="30"/>
      <c r="BB642" s="547" t="s">
        <v>595</v>
      </c>
      <c r="BC642" s="546" t="str">
        <f>IF(K629=BC639,AR639*IF(AJ641=EUconst_tCO2pTJ,(AR642/1000),1)*AR641*AR643*AR646,"")</f>
        <v/>
      </c>
      <c r="BD642" s="524" t="str">
        <f>IF(K629=BD639,AR639*AR641*AR644*AR646,"")</f>
        <v/>
      </c>
      <c r="BE642" s="523"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3" t="b">
        <f>OR(BZ639,Y642=EUconst_NA)</f>
        <v>1</v>
      </c>
    </row>
    <row r="643" spans="1:78" s="142" customFormat="1" ht="12.75" hidden="1" customHeight="1" thickBot="1">
      <c r="A643" s="808"/>
      <c r="B643" s="166"/>
      <c r="C643" s="814" t="s">
        <v>199</v>
      </c>
      <c r="D643" s="512" t="str">
        <f>Translations!$B$638</f>
        <v>OksK:</v>
      </c>
      <c r="E643" s="513"/>
      <c r="F643" s="548"/>
      <c r="G643" s="1532" t="str">
        <f t="shared" si="147"/>
        <v/>
      </c>
      <c r="H643" s="1533"/>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3"/>
      <c r="Q643" s="33"/>
      <c r="R643" s="33"/>
      <c r="S643" s="30"/>
      <c r="T643" s="552" t="str">
        <f>EUconst_CNTR_OxidationFactor&amp;E630</f>
        <v>OxF_</v>
      </c>
      <c r="U643" s="497"/>
      <c r="V643" s="553" t="str">
        <f t="shared" si="153"/>
        <v/>
      </c>
      <c r="W643" s="30"/>
      <c r="X643" s="497"/>
      <c r="Y643" s="554" t="str">
        <f>IF(OR(T630=TRUE,E630=""),"",INDEX(EUwideConstants!$N:$N,MATCH(T643,EUwideConstants!$Q:$Q,0)))</f>
        <v/>
      </c>
      <c r="Z643" s="555" t="str">
        <f>IF(ISBLANK(F643),"",IF(F643=EUconst_NA,"",INDEX(EUwideConstants!$H:$M,MATCH(T643,EUwideConstants!$Q:$Q,0),MATCH(F643,CNTR_TierList,0))))</f>
        <v/>
      </c>
      <c r="AA643" s="534" t="str">
        <f>IF(F643=1,1,"")</f>
        <v/>
      </c>
      <c r="AB643" s="30"/>
      <c r="AC643" s="557" t="b">
        <f>AND(AC639,Y643&lt;&gt;EUconst_NA)</f>
        <v>0</v>
      </c>
      <c r="AD643" s="30"/>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0"/>
      <c r="AV643" s="567" t="b">
        <f t="shared" si="150"/>
        <v>0</v>
      </c>
      <c r="AW643" s="568" t="b">
        <f t="shared" si="151"/>
        <v>0</v>
      </c>
      <c r="AX643" s="30"/>
      <c r="AY643" s="594" t="b">
        <f t="shared" si="152"/>
        <v>0</v>
      </c>
      <c r="AZ643" s="531" t="b">
        <f>AR643&gt;100%</f>
        <v>0</v>
      </c>
      <c r="BA643" s="30"/>
      <c r="BB643" s="547" t="s">
        <v>290</v>
      </c>
      <c r="BC643" s="546" t="str">
        <f>IF(K629=BC639,AR639*IF(AJ641=EUconst_tCO2pTJ,(AR642/1000),1)*AR641*AR643*(1-AR646),"")</f>
        <v/>
      </c>
      <c r="BD643" s="524" t="str">
        <f>IF(K629=BD639,AR639*AR641*AR644*(1-AR646),"")</f>
        <v/>
      </c>
      <c r="BE643" s="523"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3" t="b">
        <f>OR(BZ639,Y643=EUconst_NA)</f>
        <v>1</v>
      </c>
    </row>
    <row r="644" spans="1:78" s="142" customFormat="1" ht="12.75" hidden="1" customHeight="1" thickBot="1">
      <c r="A644" s="808"/>
      <c r="B644" s="166"/>
      <c r="C644" s="814" t="s">
        <v>200</v>
      </c>
      <c r="D644" s="512" t="str">
        <f>Translations!$B$639</f>
        <v>KonvK:</v>
      </c>
      <c r="E644" s="513"/>
      <c r="F644" s="548"/>
      <c r="G644" s="1532" t="str">
        <f t="shared" si="147"/>
        <v/>
      </c>
      <c r="H644" s="1533"/>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3"/>
      <c r="Q644" s="33"/>
      <c r="R644" s="33"/>
      <c r="S644" s="30"/>
      <c r="T644" s="552" t="str">
        <f>EUconst_CNTR_ConversionFactor&amp;E630</f>
        <v>ConvF_</v>
      </c>
      <c r="U644" s="497"/>
      <c r="V644" s="553" t="str">
        <f t="shared" si="153"/>
        <v/>
      </c>
      <c r="W644" s="30"/>
      <c r="X644" s="497"/>
      <c r="Y644" s="554" t="str">
        <f>IF(OR(T630=TRUE,E630=""),"",INDEX(EUwideConstants!$N:$N,MATCH(T644,EUwideConstants!$Q:$Q,0)))</f>
        <v/>
      </c>
      <c r="Z644" s="555" t="str">
        <f>IF(ISBLANK(F644),"",IF(F644=EUconst_NA,"",INDEX(EUwideConstants!$H:$M,MATCH(T644,EUwideConstants!$Q:$Q,0),MATCH(F644,CNTR_TierList,0))))</f>
        <v/>
      </c>
      <c r="AA644" s="582" t="str">
        <f>IF(F644=1,1,"")</f>
        <v/>
      </c>
      <c r="AB644" s="30"/>
      <c r="AC644" s="557" t="b">
        <f>AND(AC639,Y644&lt;&gt;EUconst_NA)</f>
        <v>0</v>
      </c>
      <c r="AD644" s="30"/>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0"/>
      <c r="AV644" s="567" t="b">
        <f t="shared" si="150"/>
        <v>0</v>
      </c>
      <c r="AW644" s="568" t="b">
        <f t="shared" si="151"/>
        <v>0</v>
      </c>
      <c r="AX644" s="30"/>
      <c r="AY644" s="594" t="b">
        <f t="shared" si="152"/>
        <v>0</v>
      </c>
      <c r="AZ644" s="580" t="b">
        <f>AR644&gt;100%</f>
        <v>0</v>
      </c>
      <c r="BA644" s="30"/>
      <c r="BB644" s="578" t="s">
        <v>487</v>
      </c>
      <c r="BC644" s="579">
        <f>AR639*AR642/1000*(1-AR646)</f>
        <v>0</v>
      </c>
      <c r="BD644" s="580">
        <f>BC644</f>
        <v>0</v>
      </c>
      <c r="BE644" s="581">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3" t="b">
        <f>OR(BZ639,Y644=EUconst_NA)</f>
        <v>1</v>
      </c>
    </row>
    <row r="645" spans="1:78" s="142" customFormat="1" ht="12.75" hidden="1" customHeight="1" thickBot="1">
      <c r="A645" s="808"/>
      <c r="B645" s="166"/>
      <c r="C645" s="814" t="s">
        <v>329</v>
      </c>
      <c r="D645" s="512" t="str">
        <f>Translations!$B$640</f>
        <v>AnglK:</v>
      </c>
      <c r="E645" s="513"/>
      <c r="F645" s="548"/>
      <c r="G645" s="1532" t="str">
        <f t="shared" si="147"/>
        <v/>
      </c>
      <c r="H645" s="1533"/>
      <c r="I645" s="1170" t="str">
        <f>AJ645</f>
        <v/>
      </c>
      <c r="J645" s="586"/>
      <c r="K645" s="587" t="str">
        <f t="shared" si="148"/>
        <v/>
      </c>
      <c r="L645" s="588"/>
      <c r="M645" s="709" t="str">
        <f>IF(AND(E630&lt;&gt;"",OR(F645="",COUNT(K645:L645)=0),Y645&lt;&gt;EUconst_NA,T630&lt;&gt;TRUE),EUconst_ERR_Incomplete,IF(COUNTIF(AX645:AZ645,TRUE)&gt;0,EUconst_ERR_Inconsistent,""))</f>
        <v/>
      </c>
      <c r="O645" s="733"/>
      <c r="P645" s="33"/>
      <c r="Q645" s="33"/>
      <c r="R645" s="33"/>
      <c r="S645" s="30"/>
      <c r="T645" s="552" t="str">
        <f>EUconst_CNTR_CarbonContent&amp;E630</f>
        <v>CarbC_</v>
      </c>
      <c r="U645" s="497"/>
      <c r="V645" s="553" t="str">
        <f t="shared" si="153"/>
        <v/>
      </c>
      <c r="W645" s="30"/>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0"/>
      <c r="AC645" s="557" t="b">
        <f>AND(AC639,Y645&lt;&gt;EUconst_NA)</f>
        <v>0</v>
      </c>
      <c r="AD645" s="30"/>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0"/>
      <c r="AV645" s="567" t="b">
        <f t="shared" si="150"/>
        <v>0</v>
      </c>
      <c r="AW645" s="568" t="b">
        <f t="shared" si="151"/>
        <v>0</v>
      </c>
      <c r="AX645" s="546" t="b">
        <f>OR(AND(AJ639=EUconst_kNm3,AJ645=EUconst_tCpt),AND(AJ639=EUconst_t,AJ645=EUconst_tCpkNm3))</f>
        <v>0</v>
      </c>
      <c r="AY645" s="553" t="b">
        <f t="shared" si="152"/>
        <v>0</v>
      </c>
      <c r="AZ645" s="30"/>
      <c r="BA645" s="30"/>
      <c r="BB645" s="578" t="s">
        <v>488</v>
      </c>
      <c r="BC645" s="579">
        <f>AR639*AR642/1000*AR646</f>
        <v>0</v>
      </c>
      <c r="BD645" s="580">
        <f>BC645</f>
        <v>0</v>
      </c>
      <c r="BE645" s="581">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3" t="b">
        <f>OR(BZ639,Y645=EUconst_NA)</f>
        <v>1</v>
      </c>
    </row>
    <row r="646" spans="1:78" s="142" customFormat="1" ht="12.75" hidden="1" customHeight="1">
      <c r="A646" s="808"/>
      <c r="B646" s="166"/>
      <c r="C646" s="777" t="s">
        <v>330</v>
      </c>
      <c r="D646" s="512" t="str">
        <f>Translations!$B$641</f>
        <v>BioC:</v>
      </c>
      <c r="E646" s="513"/>
      <c r="F646" s="548"/>
      <c r="G646" s="1532" t="str">
        <f t="shared" si="147"/>
        <v/>
      </c>
      <c r="H646" s="1533"/>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0"/>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0"/>
      <c r="AC646" s="557" t="b">
        <f>AND(AC639,Y646&lt;&gt;EUconst_NA)</f>
        <v>0</v>
      </c>
      <c r="AD646" s="30"/>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0"/>
      <c r="AV646" s="567" t="b">
        <f t="shared" si="150"/>
        <v>0</v>
      </c>
      <c r="AW646" s="568" t="b">
        <f t="shared" si="151"/>
        <v>0</v>
      </c>
      <c r="AX646" s="30"/>
      <c r="AY646" s="594" t="b">
        <f t="shared" si="152"/>
        <v>0</v>
      </c>
      <c r="AZ646" s="531"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3" t="b">
        <f>OR(BZ639,Y646=EUconst_NA)</f>
        <v>1</v>
      </c>
    </row>
    <row r="647" spans="1:78" s="142" customFormat="1" ht="12.75" hidden="1" customHeight="1" thickBot="1">
      <c r="A647" s="808"/>
      <c r="B647" s="166"/>
      <c r="C647" s="777" t="s">
        <v>454</v>
      </c>
      <c r="D647" s="512" t="str">
        <f>Translations!$B$647</f>
        <v>Netvar. BioC:</v>
      </c>
      <c r="E647" s="513"/>
      <c r="F647" s="597"/>
      <c r="G647" s="1532" t="str">
        <f t="shared" si="147"/>
        <v/>
      </c>
      <c r="H647" s="1533"/>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0"/>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0"/>
      <c r="AC647" s="603" t="b">
        <f>AND(AC639,Y647&lt;&gt;EUconst_NA)</f>
        <v>0</v>
      </c>
      <c r="AD647" s="30"/>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0"/>
      <c r="AV647" s="613" t="b">
        <f t="shared" si="150"/>
        <v>0</v>
      </c>
      <c r="AW647" s="614" t="b">
        <f t="shared" si="151"/>
        <v>0</v>
      </c>
      <c r="AX647" s="30"/>
      <c r="AY647" s="579" t="b">
        <f t="shared" si="152"/>
        <v>0</v>
      </c>
      <c r="AZ647" s="580"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80" t="b">
        <f>OR(BZ639,Y647=EUconst_NA)</f>
        <v>1</v>
      </c>
    </row>
    <row r="648" spans="1:78" s="142" customFormat="1" ht="5.0999999999999996" hidden="1" customHeight="1">
      <c r="A648" s="808"/>
      <c r="B648" s="166"/>
      <c r="C648" s="166"/>
      <c r="D648" s="180"/>
      <c r="O648" s="733"/>
      <c r="P648" s="33"/>
      <c r="Q648" s="33"/>
      <c r="R648" s="33"/>
      <c r="S648" s="174"/>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hidden="1" customHeight="1">
      <c r="A649" s="808"/>
      <c r="B649" s="166"/>
      <c r="C649" s="166"/>
      <c r="D649" s="1558" t="str">
        <f>Translations!$B$674</f>
        <v>Pakopos galioja nuo:</v>
      </c>
      <c r="E649" s="1558"/>
      <c r="F649" s="1559"/>
      <c r="G649" s="1052"/>
      <c r="H649" s="615" t="str">
        <f>Translations!$B$675</f>
        <v>iki:</v>
      </c>
      <c r="I649" s="1052"/>
      <c r="J649" s="1536" t="str">
        <f>Translations!$B$676</f>
        <v>Atliekų katalogo numeris (jeigu taikytina):</v>
      </c>
      <c r="K649" s="1537"/>
      <c r="L649" s="1537"/>
      <c r="M649" s="1538"/>
      <c r="N649" s="1289"/>
      <c r="O649" s="733"/>
      <c r="P649" s="33"/>
      <c r="Q649" s="33"/>
      <c r="R649" s="33"/>
      <c r="S649" s="1290"/>
      <c r="T649" s="492"/>
      <c r="U649" s="492"/>
      <c r="V649" s="48" t="b">
        <f>IF(V639="",FALSE,INDEX(CNTR_IsWaste,MATCH(V639,MSParameters!$A$218:$A$376,0)))</f>
        <v>0</v>
      </c>
      <c r="W649" s="1290"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hidden="1" customHeight="1">
      <c r="A650" s="808"/>
      <c r="B650" s="166"/>
      <c r="C650" s="166"/>
      <c r="D650" s="615"/>
      <c r="E650" s="495"/>
      <c r="F650" s="495"/>
      <c r="G650" s="495"/>
      <c r="H650" s="495"/>
      <c r="I650" s="495"/>
      <c r="J650" s="495"/>
      <c r="K650" s="495"/>
      <c r="L650" s="495"/>
      <c r="M650" s="495"/>
      <c r="N650" s="495"/>
      <c r="O650" s="733"/>
      <c r="P650" s="33"/>
      <c r="Q650" s="33"/>
      <c r="R650" s="33"/>
      <c r="S650" s="174"/>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hidden="1" customHeight="1">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3"/>
      <c r="Q651" s="33"/>
      <c r="R651" s="33"/>
      <c r="S651" s="174"/>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hidden="1" customHeight="1">
      <c r="A652" s="815"/>
      <c r="D652" s="180"/>
      <c r="O652" s="573"/>
      <c r="P652" s="497"/>
      <c r="Q652" s="497"/>
      <c r="R652" s="497"/>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hidden="1">
      <c r="A653" s="815"/>
      <c r="D653" s="1534" t="str">
        <f>Translations!$B$160</f>
        <v>Pastabos:</v>
      </c>
      <c r="E653" s="1535"/>
      <c r="F653" s="1539"/>
      <c r="G653" s="1540"/>
      <c r="H653" s="1540"/>
      <c r="I653" s="1540"/>
      <c r="J653" s="1540"/>
      <c r="K653" s="1540"/>
      <c r="L653" s="1540"/>
      <c r="M653" s="1540"/>
      <c r="N653" s="1541"/>
      <c r="O653" s="573"/>
      <c r="P653" s="497"/>
      <c r="Q653" s="497"/>
      <c r="R653" s="497"/>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c r="A654" s="808"/>
      <c r="B654" s="495"/>
      <c r="C654" s="499"/>
      <c r="D654" s="500"/>
      <c r="E654" s="501"/>
      <c r="F654" s="499"/>
      <c r="G654" s="502"/>
      <c r="H654" s="502"/>
      <c r="I654" s="502"/>
      <c r="J654" s="502"/>
      <c r="K654" s="502"/>
      <c r="L654" s="502"/>
      <c r="M654" s="502"/>
      <c r="N654" s="502"/>
      <c r="O654" s="740"/>
      <c r="P654" s="494"/>
      <c r="Q654" s="494"/>
      <c r="R654" s="494"/>
      <c r="S654" s="58"/>
      <c r="T654" s="58"/>
      <c r="U654" s="498"/>
      <c r="V654" s="58"/>
      <c r="W654" s="58"/>
      <c r="X654" s="49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c r="A655" s="813"/>
      <c r="B655" s="495"/>
      <c r="C655" s="495"/>
      <c r="D655" s="180"/>
      <c r="E655" s="496"/>
      <c r="F655" s="495"/>
      <c r="G655" s="487"/>
      <c r="H655" s="487"/>
      <c r="I655" s="487"/>
      <c r="J655" s="487"/>
      <c r="K655" s="495"/>
      <c r="L655" s="487"/>
      <c r="M655" s="487"/>
      <c r="N655" s="487"/>
      <c r="O655" s="740"/>
      <c r="P655" s="494"/>
      <c r="Q655" s="494"/>
      <c r="R655" s="494"/>
      <c r="S655" s="23"/>
      <c r="T655" s="27" t="str">
        <f>IF(ISBLANK(E656),"",MATCH(E656,CNTR_SourceStreamNames,0))</f>
        <v/>
      </c>
      <c r="U655" s="618"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1"/>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3" t="s">
        <v>262</v>
      </c>
    </row>
    <row r="656" spans="1:78" s="142" customFormat="1" ht="15" hidden="1" customHeight="1" thickBot="1">
      <c r="A656" s="869" t="str">
        <f>IF(E656="","","PRINT")</f>
        <v/>
      </c>
      <c r="B656" s="166"/>
      <c r="C656" s="617">
        <f>C629+1</f>
        <v>23</v>
      </c>
      <c r="D656" s="166"/>
      <c r="E656" s="1542"/>
      <c r="F656" s="1543"/>
      <c r="G656" s="1543"/>
      <c r="H656" s="1543"/>
      <c r="I656" s="1543"/>
      <c r="J656" s="1544"/>
      <c r="K656" s="1545" t="str">
        <f>IF(E657="","",INDEX(EUwideConstants!$F$353:$F$394,MATCH(E657,EUConst_TierActivityListNames,0)))</f>
        <v/>
      </c>
      <c r="L656" s="1546"/>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3"/>
      <c r="T656" s="509" t="s">
        <v>393</v>
      </c>
      <c r="U656" s="23"/>
      <c r="V656" s="78"/>
      <c r="W656" s="56"/>
      <c r="X656" s="58"/>
      <c r="Y656" s="58"/>
      <c r="Z656" s="58"/>
      <c r="AA656" s="58"/>
      <c r="AB656" s="58"/>
      <c r="AC656" s="58"/>
      <c r="AD656" s="58"/>
      <c r="AE656" s="58"/>
      <c r="AF656" s="58"/>
      <c r="AG656" s="58"/>
      <c r="AH656" s="58"/>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6"/>
      <c r="BZ656" s="619" t="b">
        <f>CNTR_CalcRelevant=EUconst_NotRelevant</f>
        <v>0</v>
      </c>
    </row>
    <row r="657" spans="1:78" s="142" customFormat="1" ht="15" hidden="1" customHeight="1" thickBot="1">
      <c r="A657" s="808"/>
      <c r="B657" s="166"/>
      <c r="C657" s="166"/>
      <c r="D657" s="166"/>
      <c r="E657" s="1547" t="str">
        <f>IF(ISBLANK(E656),"",IF(INDEX(B_InstallationDescription!$E$71:$E$145,MATCH(U655,B_InstallationDescription!$D$71:$D$145,0))&gt;0,INDEX(B_InstallationDescription!$E$71:$E$145,MATCH(U655,B_InstallationDescription!$D$71:$D$145,0)),""))</f>
        <v/>
      </c>
      <c r="F657" s="1548"/>
      <c r="G657" s="1548"/>
      <c r="H657" s="1548"/>
      <c r="I657" s="1548"/>
      <c r="J657" s="1549"/>
      <c r="M657" s="346" t="str">
        <f>Translations!$B$666</f>
        <v>CO2, biomasės kilmės.:</v>
      </c>
      <c r="N657" s="1051" t="str">
        <f>IF(OR(K656="",T657=TRUE),"",INDEX(BC669:BE669,MATCH(K656,BC666:BE666,0)))</f>
        <v/>
      </c>
      <c r="O657" s="742" t="s">
        <v>260</v>
      </c>
      <c r="P657" s="494"/>
      <c r="Q657" s="352" t="str">
        <f>EUconst_SumBioCO2 &amp; "_" &amp; K656</f>
        <v>SUM_bioCO2_</v>
      </c>
      <c r="R657" s="494"/>
      <c r="S657" s="23"/>
      <c r="T657" s="48" t="str">
        <f>IF(E657="","",MATCH(E657,EUConst_TierActivityListNames,0)&gt;40)</f>
        <v/>
      </c>
      <c r="U657" s="23"/>
      <c r="V657" s="78"/>
      <c r="W657" s="56"/>
      <c r="X657" s="58"/>
      <c r="Y657" s="27" t="s">
        <v>93</v>
      </c>
      <c r="Z657" s="30"/>
      <c r="AA657" s="30"/>
      <c r="AB657" s="30"/>
      <c r="AC657" s="30"/>
      <c r="AD657" s="30"/>
      <c r="AE657" s="27" t="s">
        <v>302</v>
      </c>
      <c r="AF657" s="58"/>
      <c r="AG657" s="504"/>
      <c r="AH657" s="30"/>
      <c r="AI657" s="30"/>
      <c r="AJ657" s="504"/>
      <c r="AK657" s="504"/>
      <c r="AL657" s="342"/>
      <c r="AM657" s="27" t="s">
        <v>308</v>
      </c>
      <c r="AN657" s="505"/>
      <c r="AO657" s="505"/>
      <c r="AP657" s="30"/>
      <c r="AQ657" s="30"/>
      <c r="AR657" s="30"/>
      <c r="AS657" s="30"/>
      <c r="AT657" s="30"/>
      <c r="AU657" s="30"/>
      <c r="AV657" s="27" t="s">
        <v>315</v>
      </c>
      <c r="AW657" s="30"/>
      <c r="AX657" s="492"/>
      <c r="AY657" s="30"/>
      <c r="AZ657" s="30"/>
      <c r="BA657" s="30"/>
      <c r="BB657" s="27" t="s">
        <v>219</v>
      </c>
      <c r="BC657" s="30"/>
      <c r="BD657" s="30"/>
      <c r="BE657" s="30"/>
      <c r="BF657" s="30"/>
      <c r="BG657" s="27"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0"/>
      <c r="BZ657" s="30"/>
    </row>
    <row r="658" spans="1:78" s="142" customFormat="1" ht="5.0999999999999996" hidden="1" customHeight="1">
      <c r="A658" s="808"/>
      <c r="B658" s="166"/>
      <c r="C658" s="166"/>
      <c r="D658" s="166"/>
      <c r="E658" s="166"/>
      <c r="F658" s="166"/>
      <c r="G658" s="166"/>
      <c r="M658" s="143"/>
      <c r="N658" s="143"/>
      <c r="O658" s="733"/>
      <c r="P658" s="33"/>
      <c r="Q658" s="33"/>
      <c r="R658" s="33"/>
      <c r="S658" s="23"/>
      <c r="T658" s="23"/>
      <c r="U658" s="23"/>
      <c r="V658" s="78"/>
      <c r="W658" s="30"/>
      <c r="X658" s="30"/>
      <c r="Y658" s="494"/>
      <c r="Z658" s="30"/>
      <c r="AA658" s="30"/>
      <c r="AB658" s="30"/>
      <c r="AC658" s="30"/>
      <c r="AD658" s="30"/>
      <c r="AE658" s="30"/>
      <c r="AF658" s="58"/>
      <c r="AG658" s="30"/>
      <c r="AH658" s="30"/>
      <c r="AI658" s="30"/>
      <c r="AJ658" s="504"/>
      <c r="AK658" s="504"/>
      <c r="AL658" s="342"/>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hidden="1" customHeight="1" thickBot="1">
      <c r="A659" s="808"/>
      <c r="B659" s="166"/>
      <c r="C659" s="166"/>
      <c r="D659" s="166"/>
      <c r="E659" s="1550" t="str">
        <f>IF(E656="","",IF(T657=TRUE,HYPERLINK("#JUMP_14",EUconst_MsgGoOnPFC),HYPERLINK("#JUMP_E_8",EUconst_FurtherGuidancePoint1)))</f>
        <v/>
      </c>
      <c r="F659" s="1550"/>
      <c r="G659" s="1550"/>
      <c r="H659" s="1550"/>
      <c r="I659" s="1550"/>
      <c r="J659" s="1550"/>
      <c r="K659" s="1550"/>
      <c r="L659" s="1550"/>
      <c r="M659" s="1550"/>
      <c r="N659" s="143"/>
      <c r="O659" s="733"/>
      <c r="P659" s="33"/>
      <c r="Q659" s="352" t="str">
        <f>EUconst_SumNonSustBioCO2 &amp; "_" &amp; K656</f>
        <v>SUM_bioNonSustCO2_</v>
      </c>
      <c r="R659" s="707"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4"/>
      <c r="AK659" s="504"/>
      <c r="AL659" s="342"/>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hidden="1" customHeight="1">
      <c r="A660" s="808"/>
      <c r="B660" s="166"/>
      <c r="C660" s="166"/>
      <c r="D660" s="166"/>
      <c r="E660" s="166"/>
      <c r="F660" s="166"/>
      <c r="G660" s="166"/>
      <c r="M660" s="143"/>
      <c r="N660" s="143"/>
      <c r="O660" s="733"/>
      <c r="P660" s="23"/>
      <c r="Q660" s="23"/>
      <c r="R660" s="23"/>
      <c r="S660" s="23"/>
      <c r="T660" s="23"/>
      <c r="U660" s="23"/>
      <c r="V660" s="30"/>
      <c r="W660" s="30"/>
      <c r="X660" s="30"/>
      <c r="Y660" s="494"/>
      <c r="Z660" s="30"/>
      <c r="AA660" s="30"/>
      <c r="AB660" s="30"/>
      <c r="AC660" s="30"/>
      <c r="AD660" s="30"/>
      <c r="AE660" s="30"/>
      <c r="AF660" s="58"/>
      <c r="AG660" s="30"/>
      <c r="AH660" s="30"/>
      <c r="AI660" s="30"/>
      <c r="AJ660" s="504"/>
      <c r="AK660" s="504"/>
      <c r="AL660" s="342"/>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hidden="1" customHeight="1" thickBot="1">
      <c r="A661" s="808"/>
      <c r="B661" s="166"/>
      <c r="C661" s="814" t="s">
        <v>4</v>
      </c>
      <c r="D661" s="512" t="str">
        <f>Translations!$B$622</f>
        <v>VD:</v>
      </c>
      <c r="E661" s="1560" t="str">
        <f>Translations!$B$667</f>
        <v>Ar veiklos duomenys gaunami sudedant išmatuotus kiekius (t. y. ne atliekant nuolatinius matavimus)?</v>
      </c>
      <c r="F661" s="1560"/>
      <c r="G661" s="1560"/>
      <c r="H661" s="1560"/>
      <c r="I661" s="1560"/>
      <c r="J661" s="1560"/>
      <c r="K661" s="1560"/>
      <c r="L661" s="1179"/>
      <c r="M661" s="507"/>
      <c r="O661" s="733"/>
      <c r="P661" s="23"/>
      <c r="Q661" s="23"/>
      <c r="R661" s="23"/>
      <c r="S661" s="23"/>
      <c r="T661" s="23"/>
      <c r="U661" s="23"/>
      <c r="V661" s="30"/>
      <c r="W661" s="30"/>
      <c r="X661" s="30"/>
      <c r="Y661" s="494"/>
      <c r="Z661" s="30"/>
      <c r="AA661" s="30"/>
      <c r="AB661" s="30"/>
      <c r="AC661" s="1172" t="b">
        <f>AND(E656&lt;&gt;"",T657&lt;&gt;TRUE)</f>
        <v>0</v>
      </c>
      <c r="AD661" s="30"/>
      <c r="AE661" s="30"/>
      <c r="AF661" s="58"/>
      <c r="AG661" s="30"/>
      <c r="AH661" s="30"/>
      <c r="AI661" s="30"/>
      <c r="AJ661" s="504"/>
      <c r="AK661" s="504"/>
      <c r="AL661" s="342"/>
      <c r="AM661" s="30"/>
      <c r="AN661" s="30"/>
      <c r="AO661" s="30"/>
      <c r="AP661" s="30"/>
      <c r="AQ661" s="30"/>
      <c r="AR661" s="30"/>
      <c r="AS661" s="30"/>
      <c r="AT661" s="1172"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2" t="b">
        <f>OR(CNTR_CalcRelevant=EUconst_NotRelevant,AND(COUNTA(CNTR_ListRelevantSections)&gt;0,OR(T657=TRUE,E656="")))</f>
        <v>1</v>
      </c>
    </row>
    <row r="662" spans="1:78" s="142" customFormat="1" ht="5.0999999999999996" hidden="1" customHeight="1">
      <c r="A662" s="808"/>
      <c r="B662" s="166"/>
      <c r="C662" s="166"/>
      <c r="D662" s="166"/>
      <c r="E662" s="166"/>
      <c r="F662" s="166"/>
      <c r="G662" s="166"/>
      <c r="H662" s="495"/>
      <c r="I662" s="495"/>
      <c r="J662" s="495"/>
      <c r="K662" s="495"/>
      <c r="L662" s="495"/>
      <c r="M662" s="507"/>
      <c r="O662" s="733"/>
      <c r="P662" s="23"/>
      <c r="Q662" s="23"/>
      <c r="R662" s="23"/>
      <c r="S662" s="23"/>
      <c r="T662" s="23"/>
      <c r="U662" s="23"/>
      <c r="V662" s="30"/>
      <c r="W662" s="30"/>
      <c r="X662" s="30"/>
      <c r="Y662" s="494"/>
      <c r="Z662" s="30"/>
      <c r="AA662" s="30"/>
      <c r="AB662" s="30"/>
      <c r="AC662" s="492"/>
      <c r="AD662" s="30"/>
      <c r="AE662" s="30"/>
      <c r="AF662" s="58"/>
      <c r="AG662" s="30"/>
      <c r="AH662" s="30"/>
      <c r="AI662" s="30"/>
      <c r="AJ662" s="504"/>
      <c r="AK662" s="504"/>
      <c r="AL662" s="342"/>
      <c r="AM662" s="30"/>
      <c r="AN662" s="30"/>
      <c r="AO662" s="30"/>
      <c r="AP662" s="30"/>
      <c r="AQ662" s="30"/>
      <c r="AR662" s="30"/>
      <c r="AS662" s="30"/>
      <c r="AT662" s="492"/>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2"/>
    </row>
    <row r="663" spans="1:78" s="142" customFormat="1" ht="12.75" hidden="1" customHeight="1" thickBot="1">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3"/>
      <c r="Q663" s="23"/>
      <c r="R663" s="23"/>
      <c r="S663" s="23"/>
      <c r="T663" s="23"/>
      <c r="U663" s="23"/>
      <c r="V663" s="30"/>
      <c r="W663" s="30"/>
      <c r="X663" s="30"/>
      <c r="Y663" s="494"/>
      <c r="Z663" s="30"/>
      <c r="AA663" s="30"/>
      <c r="AB663" s="30"/>
      <c r="AC663" s="1172" t="b">
        <f>AC661</f>
        <v>0</v>
      </c>
      <c r="AD663" s="30"/>
      <c r="AE663" s="30"/>
      <c r="AF663" s="58"/>
      <c r="AG663" s="30"/>
      <c r="AH663" s="30"/>
      <c r="AI663" s="30"/>
      <c r="AJ663" s="504"/>
      <c r="AK663" s="504"/>
      <c r="AL663" s="342"/>
      <c r="AM663" s="30"/>
      <c r="AN663" s="30"/>
      <c r="AO663" s="30"/>
      <c r="AP663" s="30"/>
      <c r="AQ663" s="30"/>
      <c r="AR663" s="30"/>
      <c r="AS663" s="30"/>
      <c r="AT663" s="1172"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2" t="b">
        <f>OR(BZ661,AND(NOT(ISBLANK(L661)),L661=FALSE))</f>
        <v>1</v>
      </c>
    </row>
    <row r="664" spans="1:78" s="142" customFormat="1" ht="5.0999999999999996" hidden="1" customHeight="1">
      <c r="A664" s="808"/>
      <c r="B664" s="166"/>
      <c r="C664" s="166"/>
      <c r="D664" s="166"/>
      <c r="E664" s="166"/>
      <c r="F664" s="166"/>
      <c r="G664" s="166"/>
      <c r="M664" s="143"/>
      <c r="N664" s="143"/>
      <c r="O664" s="733"/>
      <c r="P664" s="23"/>
      <c r="Q664" s="23"/>
      <c r="R664" s="23"/>
      <c r="S664" s="23"/>
      <c r="T664" s="23"/>
      <c r="U664" s="23"/>
      <c r="V664" s="30"/>
      <c r="W664" s="30"/>
      <c r="X664" s="30"/>
      <c r="Y664" s="494"/>
      <c r="Z664" s="30"/>
      <c r="AA664" s="30"/>
      <c r="AB664" s="30"/>
      <c r="AC664" s="30"/>
      <c r="AD664" s="30"/>
      <c r="AE664" s="30"/>
      <c r="AF664" s="58"/>
      <c r="AG664" s="30"/>
      <c r="AH664" s="30"/>
      <c r="AI664" s="30"/>
      <c r="AJ664" s="504"/>
      <c r="AK664" s="504"/>
      <c r="AL664" s="342"/>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hidden="1" customHeight="1" thickBot="1">
      <c r="A665" s="808"/>
      <c r="B665" s="166"/>
      <c r="C665" s="166"/>
      <c r="D665" s="166"/>
      <c r="E665" s="166"/>
      <c r="F665" s="506" t="str">
        <f>Translations!$B$333</f>
        <v>Pakopa</v>
      </c>
      <c r="G665" s="1557" t="str">
        <f>Translations!$B$672</f>
        <v>pakopos aprašas</v>
      </c>
      <c r="H665" s="1557"/>
      <c r="I665" s="1555" t="str">
        <f>Translations!$B$158</f>
        <v>Vienetas</v>
      </c>
      <c r="J665" s="1555"/>
      <c r="K665" s="1555" t="str">
        <f>Translations!$B$673</f>
        <v>Vertė</v>
      </c>
      <c r="L665" s="1555"/>
      <c r="M665" s="507" t="str">
        <f>Translations!$B$610</f>
        <v>klaida</v>
      </c>
      <c r="O665" s="733"/>
      <c r="P665" s="508"/>
      <c r="Q665" s="352" t="str">
        <f>EUconst_SumEnergyIN &amp; "_" &amp; K656</f>
        <v>SUM_EnergyIN_</v>
      </c>
      <c r="R665" s="399" t="str">
        <f>IF(OR(K656="",T657)=TRUE,"",INDEX(BC671:BE671,MATCH(K656,BC666:BE666,0)))</f>
        <v/>
      </c>
      <c r="S665" s="30"/>
      <c r="T665" s="489"/>
      <c r="U665" s="30"/>
      <c r="V665" s="509" t="s">
        <v>303</v>
      </c>
      <c r="W665" s="30"/>
      <c r="X665" s="30"/>
      <c r="Y665" s="494" t="s">
        <v>566</v>
      </c>
      <c r="Z665" s="494" t="s">
        <v>318</v>
      </c>
      <c r="AA665" s="30"/>
      <c r="AB665" s="30"/>
      <c r="AC665" s="505" t="s">
        <v>309</v>
      </c>
      <c r="AD665" s="30"/>
      <c r="AE665" s="30"/>
      <c r="AF665" s="492" t="s">
        <v>305</v>
      </c>
      <c r="AG665" s="492" t="s">
        <v>306</v>
      </c>
      <c r="AH665" s="494" t="s">
        <v>304</v>
      </c>
      <c r="AI665" s="504" t="s">
        <v>307</v>
      </c>
      <c r="AJ665" s="504" t="s">
        <v>567</v>
      </c>
      <c r="AK665" s="510" t="s">
        <v>311</v>
      </c>
      <c r="AL665" s="342"/>
      <c r="AM665" s="30"/>
      <c r="AN665" s="492" t="s">
        <v>305</v>
      </c>
      <c r="AO665" s="492" t="s">
        <v>306</v>
      </c>
      <c r="AP665" s="511" t="s">
        <v>310</v>
      </c>
      <c r="AQ665" s="504" t="s">
        <v>569</v>
      </c>
      <c r="AR665" s="504" t="s">
        <v>568</v>
      </c>
      <c r="AS665" s="510" t="s">
        <v>311</v>
      </c>
      <c r="AT665" s="510" t="s">
        <v>311</v>
      </c>
      <c r="AU665" s="30"/>
      <c r="AV665" s="492"/>
      <c r="AW665" s="492"/>
      <c r="AX665" s="492" t="s">
        <v>321</v>
      </c>
      <c r="AY665" s="492"/>
      <c r="AZ665" s="492"/>
      <c r="BA665" s="492"/>
      <c r="BB665" s="492"/>
      <c r="BC665" s="492"/>
      <c r="BD665" s="492"/>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3" t="s">
        <v>262</v>
      </c>
    </row>
    <row r="666" spans="1:78" s="142" customFormat="1" ht="12.75" hidden="1" customHeight="1" thickBot="1">
      <c r="A666" s="808"/>
      <c r="B666" s="166"/>
      <c r="C666" s="777" t="s">
        <v>196</v>
      </c>
      <c r="D666" s="512" t="str">
        <f>Translations!$B$622</f>
        <v>VD:</v>
      </c>
      <c r="E666" s="513"/>
      <c r="F666" s="402"/>
      <c r="G666" s="1532" t="str">
        <f>IF(OR(ISBLANK(F666),F666=EUconst_NoTier),"",IF(Z666=0,EUconst_NA,IF(ISERROR(Z666),"",Z666)))</f>
        <v/>
      </c>
      <c r="H666" s="1533"/>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0"/>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0"/>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0"/>
      <c r="AV666" s="492" t="s">
        <v>314</v>
      </c>
      <c r="AW666" s="492" t="s">
        <v>319</v>
      </c>
      <c r="AX666" s="524"/>
      <c r="AY666" s="30" t="s">
        <v>542</v>
      </c>
      <c r="AZ666" s="30"/>
      <c r="BA666" s="30"/>
      <c r="BB666" s="504"/>
      <c r="BC666" s="493" t="str">
        <f>EUconst_Fuel</f>
        <v>Degimas</v>
      </c>
      <c r="BD666" s="493" t="str">
        <f>EUconst_ProcessCarbonate</f>
        <v>Proceso metu išsiskiriančios ŠESD</v>
      </c>
      <c r="BE666" s="493"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4" t="b">
        <f>BZ661</f>
        <v>1</v>
      </c>
    </row>
    <row r="667" spans="1:78" s="142" customFormat="1" ht="5.0999999999999996" hidden="1" customHeight="1">
      <c r="A667" s="808"/>
      <c r="B667" s="166"/>
      <c r="C667" s="814"/>
      <c r="D667" s="306"/>
      <c r="F667" s="143"/>
      <c r="G667" s="143"/>
      <c r="H667" s="143" t="s">
        <v>236</v>
      </c>
      <c r="I667" s="525"/>
      <c r="J667" s="525"/>
      <c r="K667" s="143"/>
      <c r="L667" s="143"/>
      <c r="M667" s="710"/>
      <c r="O667" s="733"/>
      <c r="P667" s="33"/>
      <c r="Q667" s="33"/>
      <c r="R667" s="33"/>
      <c r="S667" s="30"/>
      <c r="T667" s="155"/>
      <c r="U667" s="497"/>
      <c r="V667" s="30"/>
      <c r="W667" s="30"/>
      <c r="X667" s="497"/>
      <c r="Y667" s="526"/>
      <c r="Z667" s="30"/>
      <c r="AA667" s="30"/>
      <c r="AB667" s="30"/>
      <c r="AC667" s="30"/>
      <c r="AD667" s="30"/>
      <c r="AE667" s="30"/>
      <c r="AF667" s="30"/>
      <c r="AG667" s="30"/>
      <c r="AH667" s="30"/>
      <c r="AI667" s="30"/>
      <c r="AJ667" s="30"/>
      <c r="AK667" s="30"/>
      <c r="AL667" s="342"/>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3"/>
    </row>
    <row r="668" spans="1:78" s="142" customFormat="1" ht="12.75" hidden="1" customHeight="1" thickBot="1">
      <c r="A668" s="808"/>
      <c r="B668" s="166"/>
      <c r="C668" s="814" t="s">
        <v>197</v>
      </c>
      <c r="D668" s="512" t="str">
        <f>Translations!$B$634</f>
        <v>(prelim.) ITF:</v>
      </c>
      <c r="E668" s="513"/>
      <c r="F668" s="527"/>
      <c r="G668" s="1532" t="str">
        <f t="shared" ref="G668:G674" si="154">IF(OR(ISBLANK(F668),F668=EUconst_NoTier),"",IF(Z668=0,EUconst_NotApplicable,IF(ISERROR(Z668),"",Z668)))</f>
        <v/>
      </c>
      <c r="H668" s="1556"/>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3"/>
      <c r="Q668" s="33"/>
      <c r="R668" s="33"/>
      <c r="S668" s="30"/>
      <c r="T668" s="530" t="str">
        <f>EUconst_CNTR_EF&amp;E657</f>
        <v>EF_</v>
      </c>
      <c r="U668" s="497"/>
      <c r="V668" s="531" t="str">
        <f>V666</f>
        <v/>
      </c>
      <c r="W668" s="30"/>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0"/>
      <c r="AC668" s="535" t="b">
        <f>AND(AC666,Y668&lt;&gt;EUconst_NA)</f>
        <v>0</v>
      </c>
      <c r="AD668" s="30"/>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0"/>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0"/>
      <c r="BA668" s="30"/>
      <c r="BB668" s="547" t="s">
        <v>594</v>
      </c>
      <c r="BC668" s="546" t="str">
        <f>IF(K656=BC666,AR666*IF(AJ668=EUconst_tCO2pTJ,(AR669/1000),1)*AR668*AR670*AR674,"")</f>
        <v/>
      </c>
      <c r="BD668" s="524" t="str">
        <f>IF(K656=BD666,AR666*AR668*AR671*AR674,"")</f>
        <v/>
      </c>
      <c r="BE668" s="523"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1" t="b">
        <f>OR(BZ666,Y668=EUconst_NA)</f>
        <v>1</v>
      </c>
    </row>
    <row r="669" spans="1:78" s="142" customFormat="1" ht="12.75" hidden="1" customHeight="1" thickBot="1">
      <c r="A669" s="808"/>
      <c r="B669" s="166"/>
      <c r="C669" s="814" t="s">
        <v>198</v>
      </c>
      <c r="D669" s="512" t="str">
        <f>Translations!$B$636</f>
        <v>GŠV:</v>
      </c>
      <c r="E669" s="513"/>
      <c r="F669" s="548"/>
      <c r="G669" s="1532" t="str">
        <f t="shared" si="154"/>
        <v/>
      </c>
      <c r="H669" s="1533"/>
      <c r="I669" s="1169" t="str">
        <f>AJ669</f>
        <v/>
      </c>
      <c r="J669" s="549"/>
      <c r="K669" s="550" t="str">
        <f t="shared" si="155"/>
        <v/>
      </c>
      <c r="L669" s="551"/>
      <c r="M669" s="709" t="str">
        <f>IF(AND(E657&lt;&gt;"",OR(F669="",COUNT(K669:L669)=0),Y669&lt;&gt;EUconst_NA,T657&lt;&gt;TRUE),EUconst_ERR_Incomplete,IF(COUNTIF(AX669:AZ669,TRUE)&gt;0,EUconst_ERR_Inconsistent,""))</f>
        <v/>
      </c>
      <c r="O669" s="733"/>
      <c r="P669" s="33"/>
      <c r="Q669" s="33"/>
      <c r="R669" s="33"/>
      <c r="S669" s="30"/>
      <c r="T669" s="552" t="str">
        <f>EUconst_CNTR_NCV&amp;E657</f>
        <v>NCV_</v>
      </c>
      <c r="U669" s="497"/>
      <c r="V669" s="553" t="str">
        <f t="shared" ref="V669:V674" si="160">V668</f>
        <v/>
      </c>
      <c r="W669" s="30"/>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0"/>
      <c r="AC669" s="557" t="b">
        <f>AND(AC666,Y669&lt;&gt;EUconst_NA)</f>
        <v>0</v>
      </c>
      <c r="AD669" s="30"/>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0"/>
      <c r="AV669" s="567" t="b">
        <f t="shared" si="157"/>
        <v>0</v>
      </c>
      <c r="AW669" s="568" t="b">
        <f t="shared" si="158"/>
        <v>0</v>
      </c>
      <c r="AX669" s="30"/>
      <c r="AY669" s="553" t="b">
        <f t="shared" si="159"/>
        <v>0</v>
      </c>
      <c r="AZ669" s="30"/>
      <c r="BA669" s="30"/>
      <c r="BB669" s="547" t="s">
        <v>595</v>
      </c>
      <c r="BC669" s="546" t="str">
        <f>IF(K656=BC666,AR666*IF(AJ668=EUconst_tCO2pTJ,(AR669/1000),1)*AR668*AR670*AR673,"")</f>
        <v/>
      </c>
      <c r="BD669" s="524" t="str">
        <f>IF(K656=BD666,AR666*AR668*AR671*AR673,"")</f>
        <v/>
      </c>
      <c r="BE669" s="523"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3" t="b">
        <f>OR(BZ666,Y669=EUconst_NA)</f>
        <v>1</v>
      </c>
    </row>
    <row r="670" spans="1:78" s="142" customFormat="1" ht="12.75" hidden="1" customHeight="1" thickBot="1">
      <c r="A670" s="808"/>
      <c r="B670" s="166"/>
      <c r="C670" s="814" t="s">
        <v>199</v>
      </c>
      <c r="D670" s="512" t="str">
        <f>Translations!$B$638</f>
        <v>OksK:</v>
      </c>
      <c r="E670" s="513"/>
      <c r="F670" s="548"/>
      <c r="G670" s="1532" t="str">
        <f t="shared" si="154"/>
        <v/>
      </c>
      <c r="H670" s="1533"/>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3"/>
      <c r="Q670" s="33"/>
      <c r="R670" s="33"/>
      <c r="S670" s="30"/>
      <c r="T670" s="552" t="str">
        <f>EUconst_CNTR_OxidationFactor&amp;E657</f>
        <v>OxF_</v>
      </c>
      <c r="U670" s="497"/>
      <c r="V670" s="553" t="str">
        <f t="shared" si="160"/>
        <v/>
      </c>
      <c r="W670" s="30"/>
      <c r="X670" s="497"/>
      <c r="Y670" s="554" t="str">
        <f>IF(OR(T657=TRUE,E657=""),"",INDEX(EUwideConstants!$N:$N,MATCH(T670,EUwideConstants!$Q:$Q,0)))</f>
        <v/>
      </c>
      <c r="Z670" s="555" t="str">
        <f>IF(ISBLANK(F670),"",IF(F670=EUconst_NA,"",INDEX(EUwideConstants!$H:$M,MATCH(T670,EUwideConstants!$Q:$Q,0),MATCH(F670,CNTR_TierList,0))))</f>
        <v/>
      </c>
      <c r="AA670" s="534" t="str">
        <f>IF(F670=1,1,"")</f>
        <v/>
      </c>
      <c r="AB670" s="30"/>
      <c r="AC670" s="557" t="b">
        <f>AND(AC666,Y670&lt;&gt;EUconst_NA)</f>
        <v>0</v>
      </c>
      <c r="AD670" s="30"/>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0"/>
      <c r="AV670" s="567" t="b">
        <f t="shared" si="157"/>
        <v>0</v>
      </c>
      <c r="AW670" s="568" t="b">
        <f t="shared" si="158"/>
        <v>0</v>
      </c>
      <c r="AX670" s="30"/>
      <c r="AY670" s="594" t="b">
        <f t="shared" si="159"/>
        <v>0</v>
      </c>
      <c r="AZ670" s="531" t="b">
        <f>AR670&gt;100%</f>
        <v>0</v>
      </c>
      <c r="BA670" s="30"/>
      <c r="BB670" s="547" t="s">
        <v>290</v>
      </c>
      <c r="BC670" s="546" t="str">
        <f>IF(K656=BC666,AR666*IF(AJ668=EUconst_tCO2pTJ,(AR669/1000),1)*AR668*AR670*(1-AR673),"")</f>
        <v/>
      </c>
      <c r="BD670" s="524" t="str">
        <f>IF(K656=BD666,AR666*AR668*AR671*(1-AR673),"")</f>
        <v/>
      </c>
      <c r="BE670" s="523"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3" t="b">
        <f>OR(BZ666,Y670=EUconst_NA)</f>
        <v>1</v>
      </c>
    </row>
    <row r="671" spans="1:78" s="142" customFormat="1" ht="12.75" hidden="1" customHeight="1" thickBot="1">
      <c r="A671" s="808"/>
      <c r="B671" s="166"/>
      <c r="C671" s="814" t="s">
        <v>200</v>
      </c>
      <c r="D671" s="512" t="str">
        <f>Translations!$B$639</f>
        <v>KonvK:</v>
      </c>
      <c r="E671" s="513"/>
      <c r="F671" s="548"/>
      <c r="G671" s="1532" t="str">
        <f t="shared" si="154"/>
        <v/>
      </c>
      <c r="H671" s="1533"/>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3"/>
      <c r="Q671" s="33"/>
      <c r="R671" s="33"/>
      <c r="S671" s="30"/>
      <c r="T671" s="552" t="str">
        <f>EUconst_CNTR_ConversionFactor&amp;E657</f>
        <v>ConvF_</v>
      </c>
      <c r="U671" s="497"/>
      <c r="V671" s="553" t="str">
        <f t="shared" si="160"/>
        <v/>
      </c>
      <c r="W671" s="30"/>
      <c r="X671" s="497"/>
      <c r="Y671" s="554" t="str">
        <f>IF(OR(T657=TRUE,E657=""),"",INDEX(EUwideConstants!$N:$N,MATCH(T671,EUwideConstants!$Q:$Q,0)))</f>
        <v/>
      </c>
      <c r="Z671" s="555" t="str">
        <f>IF(ISBLANK(F671),"",IF(F671=EUconst_NA,"",INDEX(EUwideConstants!$H:$M,MATCH(T671,EUwideConstants!$Q:$Q,0),MATCH(F671,CNTR_TierList,0))))</f>
        <v/>
      </c>
      <c r="AA671" s="582" t="str">
        <f>IF(F671=1,1,"")</f>
        <v/>
      </c>
      <c r="AB671" s="30"/>
      <c r="AC671" s="557" t="b">
        <f>AND(AC666,Y671&lt;&gt;EUconst_NA)</f>
        <v>0</v>
      </c>
      <c r="AD671" s="30"/>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0"/>
      <c r="AV671" s="567" t="b">
        <f t="shared" si="157"/>
        <v>0</v>
      </c>
      <c r="AW671" s="568" t="b">
        <f t="shared" si="158"/>
        <v>0</v>
      </c>
      <c r="AX671" s="30"/>
      <c r="AY671" s="594" t="b">
        <f t="shared" si="159"/>
        <v>0</v>
      </c>
      <c r="AZ671" s="580" t="b">
        <f>AR671&gt;100%</f>
        <v>0</v>
      </c>
      <c r="BA671" s="30"/>
      <c r="BB671" s="578" t="s">
        <v>487</v>
      </c>
      <c r="BC671" s="579">
        <f>AR666*AR669/1000*(1-AR673)</f>
        <v>0</v>
      </c>
      <c r="BD671" s="580">
        <f>BC671</f>
        <v>0</v>
      </c>
      <c r="BE671" s="581">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3" t="b">
        <f>OR(BZ666,Y671=EUconst_NA)</f>
        <v>1</v>
      </c>
    </row>
    <row r="672" spans="1:78" s="142" customFormat="1" ht="12.75" hidden="1" customHeight="1" thickBot="1">
      <c r="A672" s="808"/>
      <c r="B672" s="166"/>
      <c r="C672" s="814" t="s">
        <v>329</v>
      </c>
      <c r="D672" s="512" t="str">
        <f>Translations!$B$640</f>
        <v>AnglK:</v>
      </c>
      <c r="E672" s="513"/>
      <c r="F672" s="548"/>
      <c r="G672" s="1532" t="str">
        <f t="shared" si="154"/>
        <v/>
      </c>
      <c r="H672" s="1533"/>
      <c r="I672" s="1170" t="str">
        <f>AJ672</f>
        <v/>
      </c>
      <c r="J672" s="586"/>
      <c r="K672" s="587" t="str">
        <f t="shared" si="155"/>
        <v/>
      </c>
      <c r="L672" s="588"/>
      <c r="M672" s="709" t="str">
        <f>IF(AND(E657&lt;&gt;"",OR(F672="",COUNT(K672:L672)=0),Y672&lt;&gt;EUconst_NA,T657&lt;&gt;TRUE),EUconst_ERR_Incomplete,IF(COUNTIF(AX672:AZ672,TRUE)&gt;0,EUconst_ERR_Inconsistent,""))</f>
        <v/>
      </c>
      <c r="O672" s="733"/>
      <c r="P672" s="33"/>
      <c r="Q672" s="33"/>
      <c r="R672" s="33"/>
      <c r="S672" s="30"/>
      <c r="T672" s="552" t="str">
        <f>EUconst_CNTR_CarbonContent&amp;E657</f>
        <v>CarbC_</v>
      </c>
      <c r="U672" s="497"/>
      <c r="V672" s="553" t="str">
        <f t="shared" si="160"/>
        <v/>
      </c>
      <c r="W672" s="30"/>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0"/>
      <c r="AC672" s="557" t="b">
        <f>AND(AC666,Y672&lt;&gt;EUconst_NA)</f>
        <v>0</v>
      </c>
      <c r="AD672" s="30"/>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0"/>
      <c r="AV672" s="567" t="b">
        <f t="shared" si="157"/>
        <v>0</v>
      </c>
      <c r="AW672" s="568" t="b">
        <f t="shared" si="158"/>
        <v>0</v>
      </c>
      <c r="AX672" s="546" t="b">
        <f>OR(AND(AJ666=EUconst_kNm3,AJ672=EUconst_tCpt),AND(AJ666=EUconst_t,AJ672=EUconst_tCpkNm3))</f>
        <v>0</v>
      </c>
      <c r="AY672" s="553" t="b">
        <f t="shared" si="159"/>
        <v>0</v>
      </c>
      <c r="AZ672" s="30"/>
      <c r="BA672" s="30"/>
      <c r="BB672" s="578" t="s">
        <v>488</v>
      </c>
      <c r="BC672" s="579">
        <f>AR666*AR669/1000*AR673</f>
        <v>0</v>
      </c>
      <c r="BD672" s="580">
        <f>BC672</f>
        <v>0</v>
      </c>
      <c r="BE672" s="581">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3" t="b">
        <f>OR(BZ666,Y672=EUconst_NA)</f>
        <v>1</v>
      </c>
    </row>
    <row r="673" spans="1:78" s="142" customFormat="1" ht="12.75" hidden="1" customHeight="1">
      <c r="A673" s="808"/>
      <c r="B673" s="166"/>
      <c r="C673" s="777" t="s">
        <v>330</v>
      </c>
      <c r="D673" s="512" t="str">
        <f>Translations!$B$641</f>
        <v>BioC:</v>
      </c>
      <c r="E673" s="513"/>
      <c r="F673" s="548"/>
      <c r="G673" s="1532" t="str">
        <f t="shared" si="154"/>
        <v/>
      </c>
      <c r="H673" s="1533"/>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0"/>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0"/>
      <c r="AC673" s="557" t="b">
        <f>AND(AC666,Y673&lt;&gt;EUconst_NA)</f>
        <v>0</v>
      </c>
      <c r="AD673" s="30"/>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0"/>
      <c r="AV673" s="567" t="b">
        <f t="shared" si="157"/>
        <v>0</v>
      </c>
      <c r="AW673" s="568" t="b">
        <f t="shared" si="158"/>
        <v>0</v>
      </c>
      <c r="AX673" s="30"/>
      <c r="AY673" s="594" t="b">
        <f t="shared" si="159"/>
        <v>0</v>
      </c>
      <c r="AZ673" s="531"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3" t="b">
        <f>OR(BZ666,Y673=EUconst_NA)</f>
        <v>1</v>
      </c>
    </row>
    <row r="674" spans="1:78" s="142" customFormat="1" ht="12.75" hidden="1" customHeight="1" thickBot="1">
      <c r="A674" s="808"/>
      <c r="B674" s="166"/>
      <c r="C674" s="777" t="s">
        <v>454</v>
      </c>
      <c r="D674" s="512" t="str">
        <f>Translations!$B$647</f>
        <v>Netvar. BioC:</v>
      </c>
      <c r="E674" s="513"/>
      <c r="F674" s="597"/>
      <c r="G674" s="1532" t="str">
        <f t="shared" si="154"/>
        <v/>
      </c>
      <c r="H674" s="1533"/>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0"/>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0"/>
      <c r="AC674" s="603" t="b">
        <f>AND(AC666,Y674&lt;&gt;EUconst_NA)</f>
        <v>0</v>
      </c>
      <c r="AD674" s="30"/>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0"/>
      <c r="AV674" s="613" t="b">
        <f t="shared" si="157"/>
        <v>0</v>
      </c>
      <c r="AW674" s="614" t="b">
        <f t="shared" si="158"/>
        <v>0</v>
      </c>
      <c r="AX674" s="30"/>
      <c r="AY674" s="579" t="b">
        <f t="shared" si="159"/>
        <v>0</v>
      </c>
      <c r="AZ674" s="580"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80" t="b">
        <f>OR(BZ666,Y674=EUconst_NA)</f>
        <v>1</v>
      </c>
    </row>
    <row r="675" spans="1:78" s="142" customFormat="1" ht="5.0999999999999996" hidden="1" customHeight="1">
      <c r="A675" s="808"/>
      <c r="B675" s="166"/>
      <c r="C675" s="166"/>
      <c r="D675" s="180"/>
      <c r="O675" s="733"/>
      <c r="P675" s="33"/>
      <c r="Q675" s="33"/>
      <c r="R675" s="33"/>
      <c r="S675" s="174"/>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hidden="1" customHeight="1">
      <c r="A676" s="808"/>
      <c r="B676" s="166"/>
      <c r="C676" s="166"/>
      <c r="D676" s="1558" t="str">
        <f>Translations!$B$674</f>
        <v>Pakopos galioja nuo:</v>
      </c>
      <c r="E676" s="1558"/>
      <c r="F676" s="1559"/>
      <c r="G676" s="1052"/>
      <c r="H676" s="615" t="str">
        <f>Translations!$B$675</f>
        <v>iki:</v>
      </c>
      <c r="I676" s="1052"/>
      <c r="J676" s="1536" t="str">
        <f>Translations!$B$676</f>
        <v>Atliekų katalogo numeris (jeigu taikytina):</v>
      </c>
      <c r="K676" s="1537"/>
      <c r="L676" s="1537"/>
      <c r="M676" s="1538"/>
      <c r="N676" s="1289"/>
      <c r="O676" s="733"/>
      <c r="P676" s="33"/>
      <c r="Q676" s="33"/>
      <c r="R676" s="33"/>
      <c r="S676" s="1290"/>
      <c r="T676" s="492"/>
      <c r="U676" s="492"/>
      <c r="V676" s="48" t="b">
        <f>IF(V666="",FALSE,INDEX(CNTR_IsWaste,MATCH(V666,MSParameters!$A$218:$A$376,0)))</f>
        <v>0</v>
      </c>
      <c r="W676" s="1290"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4.5" hidden="1" customHeight="1">
      <c r="A677" s="808"/>
      <c r="B677" s="166"/>
      <c r="C677" s="166"/>
      <c r="D677" s="615"/>
      <c r="E677" s="495"/>
      <c r="F677" s="495"/>
      <c r="G677" s="495"/>
      <c r="H677" s="495"/>
      <c r="I677" s="495"/>
      <c r="J677" s="495"/>
      <c r="K677" s="495"/>
      <c r="L677" s="495"/>
      <c r="M677" s="495"/>
      <c r="N677" s="495"/>
      <c r="O677" s="733"/>
      <c r="P677" s="33"/>
      <c r="Q677" s="33"/>
      <c r="R677" s="33"/>
      <c r="S677" s="174"/>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hidden="1" customHeight="1">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3"/>
      <c r="Q678" s="33"/>
      <c r="R678" s="33"/>
      <c r="S678" s="174"/>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hidden="1" customHeight="1">
      <c r="A679" s="815"/>
      <c r="D679" s="180"/>
      <c r="O679" s="573"/>
      <c r="P679" s="497"/>
      <c r="Q679" s="497"/>
      <c r="R679" s="497"/>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hidden="1">
      <c r="A680" s="815"/>
      <c r="D680" s="1534" t="str">
        <f>Translations!$B$160</f>
        <v>Pastabos:</v>
      </c>
      <c r="E680" s="1535"/>
      <c r="F680" s="1539"/>
      <c r="G680" s="1540"/>
      <c r="H680" s="1540"/>
      <c r="I680" s="1540"/>
      <c r="J680" s="1540"/>
      <c r="K680" s="1540"/>
      <c r="L680" s="1540"/>
      <c r="M680" s="1540"/>
      <c r="N680" s="1541"/>
      <c r="O680" s="573"/>
      <c r="P680" s="497"/>
      <c r="Q680" s="497"/>
      <c r="R680" s="497"/>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c r="A681" s="808"/>
      <c r="B681" s="495"/>
      <c r="C681" s="499"/>
      <c r="D681" s="500"/>
      <c r="E681" s="501"/>
      <c r="F681" s="499"/>
      <c r="G681" s="502"/>
      <c r="H681" s="502"/>
      <c r="I681" s="502"/>
      <c r="J681" s="502"/>
      <c r="K681" s="502"/>
      <c r="L681" s="502"/>
      <c r="M681" s="502"/>
      <c r="N681" s="502"/>
      <c r="O681" s="740"/>
      <c r="P681" s="494"/>
      <c r="Q681" s="494"/>
      <c r="R681" s="494"/>
      <c r="S681" s="58"/>
      <c r="T681" s="58"/>
      <c r="U681" s="498"/>
      <c r="V681" s="58"/>
      <c r="W681" s="58"/>
      <c r="X681" s="49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c r="A682" s="813"/>
      <c r="B682" s="495"/>
      <c r="C682" s="495"/>
      <c r="D682" s="180"/>
      <c r="E682" s="496"/>
      <c r="F682" s="495"/>
      <c r="G682" s="487"/>
      <c r="H682" s="487"/>
      <c r="I682" s="487"/>
      <c r="J682" s="487"/>
      <c r="K682" s="495"/>
      <c r="L682" s="487"/>
      <c r="M682" s="487"/>
      <c r="N682" s="487"/>
      <c r="O682" s="740"/>
      <c r="P682" s="494"/>
      <c r="Q682" s="494"/>
      <c r="R682" s="494"/>
      <c r="S682" s="23"/>
      <c r="T682" s="27" t="str">
        <f>IF(ISBLANK(E683),"",MATCH(E683,CNTR_SourceStreamNames,0))</f>
        <v/>
      </c>
      <c r="U682" s="618"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1"/>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3" t="s">
        <v>262</v>
      </c>
    </row>
    <row r="683" spans="1:78" s="142" customFormat="1" ht="15" hidden="1" customHeight="1" thickBot="1">
      <c r="A683" s="869" t="str">
        <f>IF(E683="","","PRINT")</f>
        <v/>
      </c>
      <c r="B683" s="166"/>
      <c r="C683" s="617">
        <f>C656+1</f>
        <v>24</v>
      </c>
      <c r="D683" s="166"/>
      <c r="E683" s="1542"/>
      <c r="F683" s="1543"/>
      <c r="G683" s="1543"/>
      <c r="H683" s="1543"/>
      <c r="I683" s="1543"/>
      <c r="J683" s="1544"/>
      <c r="K683" s="1545" t="str">
        <f>IF(E684="","",INDEX(EUwideConstants!$F$353:$F$394,MATCH(E684,EUConst_TierActivityListNames,0)))</f>
        <v/>
      </c>
      <c r="L683" s="1546"/>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3"/>
      <c r="T683" s="509" t="s">
        <v>393</v>
      </c>
      <c r="U683" s="23"/>
      <c r="V683" s="78"/>
      <c r="W683" s="56"/>
      <c r="X683" s="58"/>
      <c r="Y683" s="58"/>
      <c r="Z683" s="58"/>
      <c r="AA683" s="58"/>
      <c r="AB683" s="58"/>
      <c r="AC683" s="58"/>
      <c r="AD683" s="58"/>
      <c r="AE683" s="58"/>
      <c r="AF683" s="58"/>
      <c r="AG683" s="58"/>
      <c r="AH683" s="58"/>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6"/>
      <c r="BZ683" s="619" t="b">
        <f>CNTR_CalcRelevant=EUconst_NotRelevant</f>
        <v>0</v>
      </c>
    </row>
    <row r="684" spans="1:78" s="142" customFormat="1" ht="15" hidden="1" customHeight="1" thickBot="1">
      <c r="A684" s="808"/>
      <c r="B684" s="166"/>
      <c r="C684" s="166"/>
      <c r="D684" s="166"/>
      <c r="E684" s="1547" t="str">
        <f>IF(ISBLANK(E683),"",IF(INDEX(B_InstallationDescription!$E$71:$E$145,MATCH(U682,B_InstallationDescription!$D$71:$D$145,0))&gt;0,INDEX(B_InstallationDescription!$E$71:$E$145,MATCH(U682,B_InstallationDescription!$D$71:$D$145,0)),""))</f>
        <v/>
      </c>
      <c r="F684" s="1548"/>
      <c r="G684" s="1548"/>
      <c r="H684" s="1548"/>
      <c r="I684" s="1548"/>
      <c r="J684" s="1549"/>
      <c r="M684" s="346" t="str">
        <f>Translations!$B$666</f>
        <v>CO2, biomasės kilmės.:</v>
      </c>
      <c r="N684" s="1051" t="str">
        <f>IF(OR(K683="",T684=TRUE),"",INDEX(BC696:BE696,MATCH(K683,BC693:BE693,0)))</f>
        <v/>
      </c>
      <c r="O684" s="742" t="s">
        <v>260</v>
      </c>
      <c r="P684" s="494"/>
      <c r="Q684" s="352" t="str">
        <f>EUconst_SumBioCO2 &amp; "_" &amp; K683</f>
        <v>SUM_bioCO2_</v>
      </c>
      <c r="R684" s="494"/>
      <c r="S684" s="23"/>
      <c r="T684" s="48" t="str">
        <f>IF(E684="","",MATCH(E684,EUConst_TierActivityListNames,0)&gt;40)</f>
        <v/>
      </c>
      <c r="U684" s="23"/>
      <c r="V684" s="78"/>
      <c r="W684" s="56"/>
      <c r="X684" s="58"/>
      <c r="Y684" s="27" t="s">
        <v>93</v>
      </c>
      <c r="Z684" s="30"/>
      <c r="AA684" s="30"/>
      <c r="AB684" s="30"/>
      <c r="AC684" s="30"/>
      <c r="AD684" s="30"/>
      <c r="AE684" s="27" t="s">
        <v>302</v>
      </c>
      <c r="AF684" s="58"/>
      <c r="AG684" s="504"/>
      <c r="AH684" s="30"/>
      <c r="AI684" s="30"/>
      <c r="AJ684" s="504"/>
      <c r="AK684" s="504"/>
      <c r="AL684" s="342"/>
      <c r="AM684" s="27" t="s">
        <v>308</v>
      </c>
      <c r="AN684" s="505"/>
      <c r="AO684" s="505"/>
      <c r="AP684" s="30"/>
      <c r="AQ684" s="30"/>
      <c r="AR684" s="30"/>
      <c r="AS684" s="30"/>
      <c r="AT684" s="30"/>
      <c r="AU684" s="30"/>
      <c r="AV684" s="27" t="s">
        <v>315</v>
      </c>
      <c r="AW684" s="30"/>
      <c r="AX684" s="492"/>
      <c r="AY684" s="30"/>
      <c r="AZ684" s="30"/>
      <c r="BA684" s="30"/>
      <c r="BB684" s="27" t="s">
        <v>219</v>
      </c>
      <c r="BC684" s="30"/>
      <c r="BD684" s="30"/>
      <c r="BE684" s="30"/>
      <c r="BF684" s="30"/>
      <c r="BG684" s="27"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0"/>
      <c r="BZ684" s="30"/>
    </row>
    <row r="685" spans="1:78" s="142" customFormat="1" ht="4.5" hidden="1" customHeight="1">
      <c r="A685" s="808"/>
      <c r="B685" s="166"/>
      <c r="C685" s="166"/>
      <c r="D685" s="166"/>
      <c r="E685" s="166"/>
      <c r="F685" s="166"/>
      <c r="G685" s="166"/>
      <c r="M685" s="143"/>
      <c r="N685" s="143"/>
      <c r="O685" s="733"/>
      <c r="P685" s="33"/>
      <c r="Q685" s="33"/>
      <c r="R685" s="33"/>
      <c r="S685" s="23"/>
      <c r="T685" s="23"/>
      <c r="U685" s="23"/>
      <c r="V685" s="78"/>
      <c r="W685" s="30"/>
      <c r="X685" s="30"/>
      <c r="Y685" s="494"/>
      <c r="Z685" s="30"/>
      <c r="AA685" s="30"/>
      <c r="AB685" s="30"/>
      <c r="AC685" s="30"/>
      <c r="AD685" s="30"/>
      <c r="AE685" s="30"/>
      <c r="AF685" s="58"/>
      <c r="AG685" s="30"/>
      <c r="AH685" s="30"/>
      <c r="AI685" s="30"/>
      <c r="AJ685" s="504"/>
      <c r="AK685" s="504"/>
      <c r="AL685" s="342"/>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hidden="1" customHeight="1" thickBot="1">
      <c r="A686" s="808"/>
      <c r="B686" s="166"/>
      <c r="C686" s="166"/>
      <c r="D686" s="166"/>
      <c r="E686" s="1550" t="str">
        <f>IF(E683="","",IF(T684=TRUE,HYPERLINK("#JUMP_14",EUconst_MsgGoOnPFC),HYPERLINK("#JUMP_E_8",EUconst_FurtherGuidancePoint1)))</f>
        <v/>
      </c>
      <c r="F686" s="1550"/>
      <c r="G686" s="1550"/>
      <c r="H686" s="1550"/>
      <c r="I686" s="1550"/>
      <c r="J686" s="1550"/>
      <c r="K686" s="1550"/>
      <c r="L686" s="1550"/>
      <c r="M686" s="1550"/>
      <c r="N686" s="143"/>
      <c r="O686" s="733"/>
      <c r="P686" s="33"/>
      <c r="Q686" s="352" t="str">
        <f>EUconst_SumNonSustBioCO2 &amp; "_" &amp; K683</f>
        <v>SUM_bioNonSustCO2_</v>
      </c>
      <c r="R686" s="707"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4"/>
      <c r="AK686" s="504"/>
      <c r="AL686" s="342"/>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hidden="1" customHeight="1">
      <c r="A687" s="808"/>
      <c r="B687" s="166"/>
      <c r="C687" s="166"/>
      <c r="D687" s="166"/>
      <c r="E687" s="166"/>
      <c r="F687" s="166"/>
      <c r="G687" s="166"/>
      <c r="M687" s="143"/>
      <c r="N687" s="143"/>
      <c r="O687" s="733"/>
      <c r="P687" s="23"/>
      <c r="Q687" s="23"/>
      <c r="R687" s="23"/>
      <c r="S687" s="23"/>
      <c r="T687" s="23"/>
      <c r="U687" s="23"/>
      <c r="V687" s="30"/>
      <c r="W687" s="30"/>
      <c r="X687" s="30"/>
      <c r="Y687" s="494"/>
      <c r="Z687" s="30"/>
      <c r="AA687" s="30"/>
      <c r="AB687" s="30"/>
      <c r="AC687" s="30"/>
      <c r="AD687" s="30"/>
      <c r="AE687" s="30"/>
      <c r="AF687" s="58"/>
      <c r="AG687" s="30"/>
      <c r="AH687" s="30"/>
      <c r="AI687" s="30"/>
      <c r="AJ687" s="504"/>
      <c r="AK687" s="504"/>
      <c r="AL687" s="342"/>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hidden="1" customHeight="1" thickBot="1">
      <c r="A688" s="808"/>
      <c r="B688" s="166"/>
      <c r="C688" s="814" t="s">
        <v>4</v>
      </c>
      <c r="D688" s="512" t="str">
        <f>Translations!$B$622</f>
        <v>VD:</v>
      </c>
      <c r="E688" s="1560" t="str">
        <f>Translations!$B$667</f>
        <v>Ar veiklos duomenys gaunami sudedant išmatuotus kiekius (t. y. ne atliekant nuolatinius matavimus)?</v>
      </c>
      <c r="F688" s="1560"/>
      <c r="G688" s="1560"/>
      <c r="H688" s="1560"/>
      <c r="I688" s="1560"/>
      <c r="J688" s="1560"/>
      <c r="K688" s="1560"/>
      <c r="L688" s="1179"/>
      <c r="M688" s="507"/>
      <c r="O688" s="733"/>
      <c r="P688" s="23"/>
      <c r="Q688" s="23"/>
      <c r="R688" s="23"/>
      <c r="S688" s="23"/>
      <c r="T688" s="23"/>
      <c r="U688" s="23"/>
      <c r="V688" s="30"/>
      <c r="W688" s="30"/>
      <c r="X688" s="30"/>
      <c r="Y688" s="494"/>
      <c r="Z688" s="30"/>
      <c r="AA688" s="30"/>
      <c r="AB688" s="30"/>
      <c r="AC688" s="1172" t="b">
        <f>AND(E683&lt;&gt;"",T684&lt;&gt;TRUE)</f>
        <v>0</v>
      </c>
      <c r="AD688" s="30"/>
      <c r="AE688" s="30"/>
      <c r="AF688" s="58"/>
      <c r="AG688" s="30"/>
      <c r="AH688" s="30"/>
      <c r="AI688" s="30"/>
      <c r="AJ688" s="504"/>
      <c r="AK688" s="504"/>
      <c r="AL688" s="342"/>
      <c r="AM688" s="30"/>
      <c r="AN688" s="30"/>
      <c r="AO688" s="30"/>
      <c r="AP688" s="30"/>
      <c r="AQ688" s="30"/>
      <c r="AR688" s="30"/>
      <c r="AS688" s="30"/>
      <c r="AT688" s="1172"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2" t="b">
        <f>OR(CNTR_CalcRelevant=EUconst_NotRelevant,AND(COUNTA(CNTR_ListRelevantSections)&gt;0,OR(T684=TRUE,E683="")))</f>
        <v>1</v>
      </c>
    </row>
    <row r="689" spans="1:78" s="142" customFormat="1" ht="4.5" hidden="1" customHeight="1">
      <c r="A689" s="808"/>
      <c r="B689" s="166"/>
      <c r="C689" s="166"/>
      <c r="D689" s="166"/>
      <c r="E689" s="166"/>
      <c r="F689" s="166"/>
      <c r="G689" s="166"/>
      <c r="H689" s="495"/>
      <c r="I689" s="495"/>
      <c r="J689" s="495"/>
      <c r="K689" s="495"/>
      <c r="L689" s="495"/>
      <c r="M689" s="507"/>
      <c r="O689" s="733"/>
      <c r="P689" s="23"/>
      <c r="Q689" s="23"/>
      <c r="R689" s="23"/>
      <c r="S689" s="23"/>
      <c r="T689" s="23"/>
      <c r="U689" s="23"/>
      <c r="V689" s="30"/>
      <c r="W689" s="30"/>
      <c r="X689" s="30"/>
      <c r="Y689" s="494"/>
      <c r="Z689" s="30"/>
      <c r="AA689" s="30"/>
      <c r="AB689" s="30"/>
      <c r="AC689" s="492"/>
      <c r="AD689" s="30"/>
      <c r="AE689" s="30"/>
      <c r="AF689" s="58"/>
      <c r="AG689" s="30"/>
      <c r="AH689" s="30"/>
      <c r="AI689" s="30"/>
      <c r="AJ689" s="504"/>
      <c r="AK689" s="504"/>
      <c r="AL689" s="342"/>
      <c r="AM689" s="30"/>
      <c r="AN689" s="30"/>
      <c r="AO689" s="30"/>
      <c r="AP689" s="30"/>
      <c r="AQ689" s="30"/>
      <c r="AR689" s="30"/>
      <c r="AS689" s="30"/>
      <c r="AT689" s="492"/>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2"/>
    </row>
    <row r="690" spans="1:78" s="142" customFormat="1" ht="12.75" hidden="1" customHeight="1" thickBot="1">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3"/>
      <c r="Q690" s="23"/>
      <c r="R690" s="23"/>
      <c r="S690" s="23"/>
      <c r="T690" s="23"/>
      <c r="U690" s="23"/>
      <c r="V690" s="30"/>
      <c r="W690" s="30"/>
      <c r="X690" s="30"/>
      <c r="Y690" s="494"/>
      <c r="Z690" s="30"/>
      <c r="AA690" s="30"/>
      <c r="AB690" s="30"/>
      <c r="AC690" s="1172" t="b">
        <f>AC688</f>
        <v>0</v>
      </c>
      <c r="AD690" s="30"/>
      <c r="AE690" s="30"/>
      <c r="AF690" s="58"/>
      <c r="AG690" s="30"/>
      <c r="AH690" s="30"/>
      <c r="AI690" s="30"/>
      <c r="AJ690" s="504"/>
      <c r="AK690" s="504"/>
      <c r="AL690" s="342"/>
      <c r="AM690" s="30"/>
      <c r="AN690" s="30"/>
      <c r="AO690" s="30"/>
      <c r="AP690" s="30"/>
      <c r="AQ690" s="30"/>
      <c r="AR690" s="30"/>
      <c r="AS690" s="30"/>
      <c r="AT690" s="1172"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2" t="b">
        <f>OR(BZ688,AND(NOT(ISBLANK(L688)),L688=FALSE))</f>
        <v>1</v>
      </c>
    </row>
    <row r="691" spans="1:78" s="142" customFormat="1" ht="4.5" hidden="1" customHeight="1">
      <c r="A691" s="808"/>
      <c r="B691" s="166"/>
      <c r="C691" s="166"/>
      <c r="D691" s="166"/>
      <c r="E691" s="166"/>
      <c r="F691" s="166"/>
      <c r="G691" s="166"/>
      <c r="M691" s="143"/>
      <c r="N691" s="143"/>
      <c r="O691" s="733"/>
      <c r="P691" s="23"/>
      <c r="Q691" s="23"/>
      <c r="R691" s="23"/>
      <c r="S691" s="23"/>
      <c r="T691" s="23"/>
      <c r="U691" s="23"/>
      <c r="V691" s="30"/>
      <c r="W691" s="30"/>
      <c r="X691" s="30"/>
      <c r="Y691" s="494"/>
      <c r="Z691" s="30"/>
      <c r="AA691" s="30"/>
      <c r="AB691" s="30"/>
      <c r="AC691" s="30"/>
      <c r="AD691" s="30"/>
      <c r="AE691" s="30"/>
      <c r="AF691" s="58"/>
      <c r="AG691" s="30"/>
      <c r="AH691" s="30"/>
      <c r="AI691" s="30"/>
      <c r="AJ691" s="504"/>
      <c r="AK691" s="504"/>
      <c r="AL691" s="342"/>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9.75" hidden="1" customHeight="1" thickBot="1">
      <c r="A692" s="808"/>
      <c r="B692" s="166"/>
      <c r="C692" s="166"/>
      <c r="D692" s="166"/>
      <c r="E692" s="166"/>
      <c r="F692" s="506" t="str">
        <f>Translations!$B$333</f>
        <v>Pakopa</v>
      </c>
      <c r="G692" s="1557" t="str">
        <f>Translations!$B$672</f>
        <v>pakopos aprašas</v>
      </c>
      <c r="H692" s="1557"/>
      <c r="I692" s="1555" t="str">
        <f>Translations!$B$158</f>
        <v>Vienetas</v>
      </c>
      <c r="J692" s="1555"/>
      <c r="K692" s="1555" t="str">
        <f>Translations!$B$673</f>
        <v>Vertė</v>
      </c>
      <c r="L692" s="1555"/>
      <c r="M692" s="507" t="str">
        <f>Translations!$B$610</f>
        <v>klaida</v>
      </c>
      <c r="O692" s="733"/>
      <c r="P692" s="508"/>
      <c r="Q692" s="352" t="str">
        <f>EUconst_SumEnergyIN &amp; "_" &amp; K683</f>
        <v>SUM_EnergyIN_</v>
      </c>
      <c r="R692" s="399" t="str">
        <f>IF(OR(K683="",T684)=TRUE,"",INDEX(BC698:BE698,MATCH(K683,BC693:BE693,0)))</f>
        <v/>
      </c>
      <c r="S692" s="30"/>
      <c r="T692" s="489"/>
      <c r="U692" s="30"/>
      <c r="V692" s="509" t="s">
        <v>303</v>
      </c>
      <c r="W692" s="30"/>
      <c r="X692" s="30"/>
      <c r="Y692" s="494" t="s">
        <v>566</v>
      </c>
      <c r="Z692" s="494" t="s">
        <v>318</v>
      </c>
      <c r="AA692" s="30"/>
      <c r="AB692" s="30"/>
      <c r="AC692" s="505" t="s">
        <v>309</v>
      </c>
      <c r="AD692" s="30"/>
      <c r="AE692" s="30"/>
      <c r="AF692" s="492" t="s">
        <v>305</v>
      </c>
      <c r="AG692" s="492" t="s">
        <v>306</v>
      </c>
      <c r="AH692" s="494" t="s">
        <v>304</v>
      </c>
      <c r="AI692" s="504" t="s">
        <v>307</v>
      </c>
      <c r="AJ692" s="504" t="s">
        <v>567</v>
      </c>
      <c r="AK692" s="510" t="s">
        <v>311</v>
      </c>
      <c r="AL692" s="342"/>
      <c r="AM692" s="30"/>
      <c r="AN692" s="492" t="s">
        <v>305</v>
      </c>
      <c r="AO692" s="492" t="s">
        <v>306</v>
      </c>
      <c r="AP692" s="511" t="s">
        <v>310</v>
      </c>
      <c r="AQ692" s="504" t="s">
        <v>569</v>
      </c>
      <c r="AR692" s="504" t="s">
        <v>568</v>
      </c>
      <c r="AS692" s="510" t="s">
        <v>609</v>
      </c>
      <c r="AT692" s="510" t="s">
        <v>609</v>
      </c>
      <c r="AU692" s="30"/>
      <c r="AV692" s="492"/>
      <c r="AW692" s="492"/>
      <c r="AX692" s="492" t="s">
        <v>321</v>
      </c>
      <c r="AY692" s="492"/>
      <c r="AZ692" s="492"/>
      <c r="BA692" s="492"/>
      <c r="BB692" s="492"/>
      <c r="BC692" s="492"/>
      <c r="BD692" s="492"/>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3" t="s">
        <v>262</v>
      </c>
    </row>
    <row r="693" spans="1:78" s="142" customFormat="1" ht="12.75" hidden="1" customHeight="1" thickBot="1">
      <c r="A693" s="808"/>
      <c r="B693" s="166"/>
      <c r="C693" s="777" t="s">
        <v>196</v>
      </c>
      <c r="D693" s="512" t="str">
        <f>Translations!$B$622</f>
        <v>VD:</v>
      </c>
      <c r="E693" s="513"/>
      <c r="F693" s="402"/>
      <c r="G693" s="1532" t="str">
        <f>IF(OR(ISBLANK(F693),F693=EUconst_NoTier),"",IF(Z693=0,EUconst_NA,IF(ISERROR(Z693),"",Z693)))</f>
        <v/>
      </c>
      <c r="H693" s="1533"/>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0"/>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0"/>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0"/>
      <c r="AV693" s="492" t="s">
        <v>314</v>
      </c>
      <c r="AW693" s="492" t="s">
        <v>319</v>
      </c>
      <c r="AX693" s="524"/>
      <c r="AY693" s="30" t="s">
        <v>542</v>
      </c>
      <c r="AZ693" s="30"/>
      <c r="BA693" s="30"/>
      <c r="BB693" s="504"/>
      <c r="BC693" s="493" t="str">
        <f>EUconst_Fuel</f>
        <v>Degimas</v>
      </c>
      <c r="BD693" s="493" t="str">
        <f>EUconst_ProcessCarbonate</f>
        <v>Proceso metu išsiskiriančios ŠESD</v>
      </c>
      <c r="BE693" s="493"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4" t="b">
        <f>BZ688</f>
        <v>1</v>
      </c>
    </row>
    <row r="694" spans="1:78" s="142" customFormat="1" ht="4.5" hidden="1" customHeight="1">
      <c r="A694" s="808"/>
      <c r="B694" s="166"/>
      <c r="C694" s="814"/>
      <c r="D694" s="306"/>
      <c r="F694" s="143"/>
      <c r="G694" s="143"/>
      <c r="H694" s="143" t="s">
        <v>236</v>
      </c>
      <c r="I694" s="525"/>
      <c r="J694" s="525"/>
      <c r="K694" s="143"/>
      <c r="L694" s="143"/>
      <c r="M694" s="710"/>
      <c r="O694" s="733"/>
      <c r="P694" s="33"/>
      <c r="Q694" s="33"/>
      <c r="R694" s="33"/>
      <c r="S694" s="30"/>
      <c r="T694" s="155"/>
      <c r="U694" s="497"/>
      <c r="V694" s="30"/>
      <c r="W694" s="30"/>
      <c r="X694" s="497"/>
      <c r="Y694" s="526"/>
      <c r="Z694" s="30"/>
      <c r="AA694" s="30"/>
      <c r="AB694" s="30"/>
      <c r="AC694" s="30"/>
      <c r="AD694" s="30"/>
      <c r="AE694" s="30"/>
      <c r="AF694" s="30"/>
      <c r="AG694" s="30"/>
      <c r="AH694" s="30"/>
      <c r="AI694" s="30"/>
      <c r="AJ694" s="30"/>
      <c r="AK694" s="30"/>
      <c r="AL694" s="342"/>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3"/>
    </row>
    <row r="695" spans="1:78" s="142" customFormat="1" ht="12.75" hidden="1" customHeight="1" thickBot="1">
      <c r="A695" s="808"/>
      <c r="B695" s="166"/>
      <c r="C695" s="814" t="s">
        <v>197</v>
      </c>
      <c r="D695" s="512" t="str">
        <f>Translations!$B$634</f>
        <v>(prelim.) ITF:</v>
      </c>
      <c r="E695" s="513"/>
      <c r="F695" s="527"/>
      <c r="G695" s="1532" t="str">
        <f t="shared" ref="G695:G701" si="161">IF(OR(ISBLANK(F695),F695=EUconst_NoTier),"",IF(Z695=0,EUconst_NotApplicable,IF(ISERROR(Z695),"",Z695)))</f>
        <v/>
      </c>
      <c r="H695" s="1556"/>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3"/>
      <c r="Q695" s="33"/>
      <c r="R695" s="33"/>
      <c r="S695" s="30"/>
      <c r="T695" s="530" t="str">
        <f>EUconst_CNTR_EF&amp;E684</f>
        <v>EF_</v>
      </c>
      <c r="U695" s="497"/>
      <c r="V695" s="531" t="str">
        <f>V693</f>
        <v/>
      </c>
      <c r="W695" s="30"/>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0"/>
      <c r="AC695" s="535" t="b">
        <f>AND(AC693,Y695&lt;&gt;EUconst_NA)</f>
        <v>0</v>
      </c>
      <c r="AD695" s="30"/>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0"/>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0"/>
      <c r="BA695" s="30"/>
      <c r="BB695" s="547" t="s">
        <v>594</v>
      </c>
      <c r="BC695" s="546" t="str">
        <f>IF(K683=BC693,AR693*IF(AJ695=EUconst_tCO2pTJ,(AR696/1000),1)*AR695*AR697*AR701,"")</f>
        <v/>
      </c>
      <c r="BD695" s="524" t="str">
        <f>IF(K683=BD693,AR693*AR695*AR698*AR701,"")</f>
        <v/>
      </c>
      <c r="BE695" s="523"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1" t="b">
        <f>OR(BZ693,Y695=EUconst_NA)</f>
        <v>1</v>
      </c>
    </row>
    <row r="696" spans="1:78" s="142" customFormat="1" ht="12.75" hidden="1" customHeight="1" thickBot="1">
      <c r="A696" s="808"/>
      <c r="B696" s="166"/>
      <c r="C696" s="814" t="s">
        <v>198</v>
      </c>
      <c r="D696" s="512" t="str">
        <f>Translations!$B$636</f>
        <v>GŠV:</v>
      </c>
      <c r="E696" s="513"/>
      <c r="F696" s="548"/>
      <c r="G696" s="1532" t="str">
        <f t="shared" si="161"/>
        <v/>
      </c>
      <c r="H696" s="1533"/>
      <c r="I696" s="1169" t="str">
        <f>AJ696</f>
        <v/>
      </c>
      <c r="J696" s="549"/>
      <c r="K696" s="550" t="str">
        <f t="shared" si="162"/>
        <v/>
      </c>
      <c r="L696" s="551"/>
      <c r="M696" s="709" t="str">
        <f>IF(AND(E684&lt;&gt;"",OR(F696="",COUNT(K696:L696)=0),Y696&lt;&gt;EUconst_NA,T684&lt;&gt;TRUE),EUconst_ERR_Incomplete,IF(COUNTIF(AX696:AZ696,TRUE)&gt;0,EUconst_ERR_Inconsistent,""))</f>
        <v/>
      </c>
      <c r="O696" s="733"/>
      <c r="P696" s="33"/>
      <c r="Q696" s="33"/>
      <c r="R696" s="33"/>
      <c r="S696" s="30"/>
      <c r="T696" s="552" t="str">
        <f>EUconst_CNTR_NCV&amp;E684</f>
        <v>NCV_</v>
      </c>
      <c r="U696" s="497"/>
      <c r="V696" s="553" t="str">
        <f t="shared" ref="V696:V701" si="167">V695</f>
        <v/>
      </c>
      <c r="W696" s="30"/>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0"/>
      <c r="AC696" s="557" t="b">
        <f>AND(AC693,Y696&lt;&gt;EUconst_NA)</f>
        <v>0</v>
      </c>
      <c r="AD696" s="30"/>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0"/>
      <c r="AV696" s="567" t="b">
        <f t="shared" si="164"/>
        <v>0</v>
      </c>
      <c r="AW696" s="568" t="b">
        <f t="shared" si="165"/>
        <v>0</v>
      </c>
      <c r="AX696" s="30"/>
      <c r="AY696" s="553" t="b">
        <f t="shared" si="166"/>
        <v>0</v>
      </c>
      <c r="AZ696" s="30"/>
      <c r="BA696" s="30"/>
      <c r="BB696" s="547" t="s">
        <v>595</v>
      </c>
      <c r="BC696" s="546" t="str">
        <f>IF(K683=BC693,AR693*IF(AJ695=EUconst_tCO2pTJ,(AR696/1000),1)*AR695*AR697*AR700,"")</f>
        <v/>
      </c>
      <c r="BD696" s="524" t="str">
        <f>IF(K683=BD693,AR693*AR695*AR698*AR700,"")</f>
        <v/>
      </c>
      <c r="BE696" s="523"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3" t="b">
        <f>OR(BZ693,Y696=EUconst_NA)</f>
        <v>1</v>
      </c>
    </row>
    <row r="697" spans="1:78" s="142" customFormat="1" ht="12.75" hidden="1" customHeight="1" thickBot="1">
      <c r="A697" s="808"/>
      <c r="B697" s="166"/>
      <c r="C697" s="814" t="s">
        <v>199</v>
      </c>
      <c r="D697" s="512" t="str">
        <f>Translations!$B$638</f>
        <v>OksK:</v>
      </c>
      <c r="E697" s="513"/>
      <c r="F697" s="548"/>
      <c r="G697" s="1532" t="str">
        <f t="shared" si="161"/>
        <v/>
      </c>
      <c r="H697" s="1533"/>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3"/>
      <c r="Q697" s="33"/>
      <c r="R697" s="33"/>
      <c r="S697" s="30"/>
      <c r="T697" s="552" t="str">
        <f>EUconst_CNTR_OxidationFactor&amp;E684</f>
        <v>OxF_</v>
      </c>
      <c r="U697" s="497"/>
      <c r="V697" s="553" t="str">
        <f t="shared" si="167"/>
        <v/>
      </c>
      <c r="W697" s="30"/>
      <c r="X697" s="497"/>
      <c r="Y697" s="554" t="str">
        <f>IF(OR(T684=TRUE,E684=""),"",INDEX(EUwideConstants!$N:$N,MATCH(T697,EUwideConstants!$Q:$Q,0)))</f>
        <v/>
      </c>
      <c r="Z697" s="555" t="str">
        <f>IF(ISBLANK(F697),"",IF(F697=EUconst_NA,"",INDEX(EUwideConstants!$H:$M,MATCH(T697,EUwideConstants!$Q:$Q,0),MATCH(F697,CNTR_TierList,0))))</f>
        <v/>
      </c>
      <c r="AA697" s="534" t="str">
        <f>IF(F697=1,1,"")</f>
        <v/>
      </c>
      <c r="AB697" s="30"/>
      <c r="AC697" s="557" t="b">
        <f>AND(AC693,Y697&lt;&gt;EUconst_NA)</f>
        <v>0</v>
      </c>
      <c r="AD697" s="30"/>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0"/>
      <c r="AV697" s="567" t="b">
        <f t="shared" si="164"/>
        <v>0</v>
      </c>
      <c r="AW697" s="568" t="b">
        <f t="shared" si="165"/>
        <v>0</v>
      </c>
      <c r="AX697" s="30"/>
      <c r="AY697" s="594" t="b">
        <f t="shared" si="166"/>
        <v>0</v>
      </c>
      <c r="AZ697" s="531" t="b">
        <f>AR697&gt;100%</f>
        <v>0</v>
      </c>
      <c r="BA697" s="30"/>
      <c r="BB697" s="547" t="s">
        <v>290</v>
      </c>
      <c r="BC697" s="546" t="str">
        <f>IF(K683=BC693,AR693*IF(AJ695=EUconst_tCO2pTJ,(AR696/1000),1)*AR695*AR697*(1-AR700),"")</f>
        <v/>
      </c>
      <c r="BD697" s="524" t="str">
        <f>IF(K683=BD693,AR693*AR695*AR698*(1-AR700),"")</f>
        <v/>
      </c>
      <c r="BE697" s="523"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3" t="b">
        <f>OR(BZ693,Y697=EUconst_NA)</f>
        <v>1</v>
      </c>
    </row>
    <row r="698" spans="1:78" s="142" customFormat="1" ht="12.75" hidden="1" customHeight="1" thickBot="1">
      <c r="A698" s="808"/>
      <c r="B698" s="166"/>
      <c r="C698" s="814" t="s">
        <v>200</v>
      </c>
      <c r="D698" s="512" t="str">
        <f>Translations!$B$639</f>
        <v>KonvK:</v>
      </c>
      <c r="E698" s="513"/>
      <c r="F698" s="548"/>
      <c r="G698" s="1532" t="str">
        <f t="shared" si="161"/>
        <v/>
      </c>
      <c r="H698" s="1533"/>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3"/>
      <c r="Q698" s="33"/>
      <c r="R698" s="33"/>
      <c r="S698" s="30"/>
      <c r="T698" s="552" t="str">
        <f>EUconst_CNTR_ConversionFactor&amp;E684</f>
        <v>ConvF_</v>
      </c>
      <c r="U698" s="497"/>
      <c r="V698" s="553" t="str">
        <f t="shared" si="167"/>
        <v/>
      </c>
      <c r="W698" s="30"/>
      <c r="X698" s="497"/>
      <c r="Y698" s="554" t="str">
        <f>IF(OR(T684=TRUE,E684=""),"",INDEX(EUwideConstants!$N:$N,MATCH(T698,EUwideConstants!$Q:$Q,0)))</f>
        <v/>
      </c>
      <c r="Z698" s="555" t="str">
        <f>IF(ISBLANK(F698),"",IF(F698=EUconst_NA,"",INDEX(EUwideConstants!$H:$M,MATCH(T698,EUwideConstants!$Q:$Q,0),MATCH(F698,CNTR_TierList,0))))</f>
        <v/>
      </c>
      <c r="AA698" s="582" t="str">
        <f>IF(F698=1,1,"")</f>
        <v/>
      </c>
      <c r="AB698" s="30"/>
      <c r="AC698" s="557" t="b">
        <f>AND(AC693,Y698&lt;&gt;EUconst_NA)</f>
        <v>0</v>
      </c>
      <c r="AD698" s="30"/>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0"/>
      <c r="AV698" s="567" t="b">
        <f t="shared" si="164"/>
        <v>0</v>
      </c>
      <c r="AW698" s="568" t="b">
        <f t="shared" si="165"/>
        <v>0</v>
      </c>
      <c r="AX698" s="30"/>
      <c r="AY698" s="594" t="b">
        <f t="shared" si="166"/>
        <v>0</v>
      </c>
      <c r="AZ698" s="580" t="b">
        <f>AR698&gt;100%</f>
        <v>0</v>
      </c>
      <c r="BA698" s="30"/>
      <c r="BB698" s="578" t="s">
        <v>487</v>
      </c>
      <c r="BC698" s="579">
        <f>AR693*AR696/1000*(1-AR700)</f>
        <v>0</v>
      </c>
      <c r="BD698" s="580">
        <f>BC698</f>
        <v>0</v>
      </c>
      <c r="BE698" s="581">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3" t="b">
        <f>OR(BZ693,Y698=EUconst_NA)</f>
        <v>1</v>
      </c>
    </row>
    <row r="699" spans="1:78" s="142" customFormat="1" ht="12.75" hidden="1" customHeight="1" thickBot="1">
      <c r="A699" s="808"/>
      <c r="B699" s="166"/>
      <c r="C699" s="814" t="s">
        <v>329</v>
      </c>
      <c r="D699" s="512" t="str">
        <f>Translations!$B$640</f>
        <v>AnglK:</v>
      </c>
      <c r="E699" s="513"/>
      <c r="F699" s="548"/>
      <c r="G699" s="1532" t="str">
        <f t="shared" si="161"/>
        <v/>
      </c>
      <c r="H699" s="1533"/>
      <c r="I699" s="1170" t="str">
        <f>AJ699</f>
        <v/>
      </c>
      <c r="J699" s="586"/>
      <c r="K699" s="587" t="str">
        <f t="shared" si="162"/>
        <v/>
      </c>
      <c r="L699" s="588"/>
      <c r="M699" s="709" t="str">
        <f>IF(AND(E684&lt;&gt;"",OR(F699="",COUNT(K699:L699)=0),Y699&lt;&gt;EUconst_NA,T684&lt;&gt;TRUE),EUconst_ERR_Incomplete,IF(COUNTIF(AX699:AZ699,TRUE)&gt;0,EUconst_ERR_Inconsistent,""))</f>
        <v/>
      </c>
      <c r="O699" s="733"/>
      <c r="P699" s="33"/>
      <c r="Q699" s="33"/>
      <c r="R699" s="33"/>
      <c r="S699" s="30"/>
      <c r="T699" s="552" t="str">
        <f>EUconst_CNTR_CarbonContent&amp;E684</f>
        <v>CarbC_</v>
      </c>
      <c r="U699" s="497"/>
      <c r="V699" s="553" t="str">
        <f t="shared" si="167"/>
        <v/>
      </c>
      <c r="W699" s="30"/>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0"/>
      <c r="AC699" s="557" t="b">
        <f>AND(AC693,Y699&lt;&gt;EUconst_NA)</f>
        <v>0</v>
      </c>
      <c r="AD699" s="30"/>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0"/>
      <c r="AV699" s="567" t="b">
        <f t="shared" si="164"/>
        <v>0</v>
      </c>
      <c r="AW699" s="568" t="b">
        <f t="shared" si="165"/>
        <v>0</v>
      </c>
      <c r="AX699" s="546" t="b">
        <f>OR(AND(AJ693=EUconst_kNm3,AJ699=EUconst_tCpt),AND(AJ693=EUconst_t,AJ699=EUconst_tCpkNm3))</f>
        <v>0</v>
      </c>
      <c r="AY699" s="553" t="b">
        <f t="shared" si="166"/>
        <v>0</v>
      </c>
      <c r="AZ699" s="30"/>
      <c r="BA699" s="30"/>
      <c r="BB699" s="578" t="s">
        <v>488</v>
      </c>
      <c r="BC699" s="579">
        <f>AR693*AR696/1000*AR700</f>
        <v>0</v>
      </c>
      <c r="BD699" s="580">
        <f>BC699</f>
        <v>0</v>
      </c>
      <c r="BE699" s="581">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3" t="b">
        <f>OR(BZ693,Y699=EUconst_NA)</f>
        <v>1</v>
      </c>
    </row>
    <row r="700" spans="1:78" s="142" customFormat="1" ht="12.75" hidden="1" customHeight="1">
      <c r="A700" s="808"/>
      <c r="B700" s="166"/>
      <c r="C700" s="777" t="s">
        <v>330</v>
      </c>
      <c r="D700" s="512" t="str">
        <f>Translations!$B$641</f>
        <v>BioC:</v>
      </c>
      <c r="E700" s="513"/>
      <c r="F700" s="548"/>
      <c r="G700" s="1532" t="str">
        <f t="shared" si="161"/>
        <v/>
      </c>
      <c r="H700" s="1533"/>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0"/>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0"/>
      <c r="AC700" s="557" t="b">
        <f>AND(AC693,Y700&lt;&gt;EUconst_NA)</f>
        <v>0</v>
      </c>
      <c r="AD700" s="30"/>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0"/>
      <c r="AV700" s="567" t="b">
        <f t="shared" si="164"/>
        <v>0</v>
      </c>
      <c r="AW700" s="568" t="b">
        <f t="shared" si="165"/>
        <v>0</v>
      </c>
      <c r="AX700" s="30"/>
      <c r="AY700" s="594" t="b">
        <f t="shared" si="166"/>
        <v>0</v>
      </c>
      <c r="AZ700" s="531"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3" t="b">
        <f>OR(BZ693,Y700=EUconst_NA)</f>
        <v>1</v>
      </c>
    </row>
    <row r="701" spans="1:78" s="142" customFormat="1" ht="12.75" hidden="1" customHeight="1" thickBot="1">
      <c r="A701" s="808"/>
      <c r="B701" s="166"/>
      <c r="C701" s="777" t="s">
        <v>454</v>
      </c>
      <c r="D701" s="512" t="str">
        <f>Translations!$B$647</f>
        <v>Netvar. BioC:</v>
      </c>
      <c r="E701" s="513"/>
      <c r="F701" s="597"/>
      <c r="G701" s="1532" t="str">
        <f t="shared" si="161"/>
        <v/>
      </c>
      <c r="H701" s="1533"/>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0"/>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0"/>
      <c r="AC701" s="603" t="b">
        <f>AND(AC693,Y701&lt;&gt;EUconst_NA)</f>
        <v>0</v>
      </c>
      <c r="AD701" s="30"/>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0"/>
      <c r="AV701" s="613" t="b">
        <f t="shared" si="164"/>
        <v>0</v>
      </c>
      <c r="AW701" s="614" t="b">
        <f t="shared" si="165"/>
        <v>0</v>
      </c>
      <c r="AX701" s="30"/>
      <c r="AY701" s="579" t="b">
        <f t="shared" si="166"/>
        <v>0</v>
      </c>
      <c r="AZ701" s="580"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80" t="b">
        <f>OR(BZ693,Y701=EUconst_NA)</f>
        <v>1</v>
      </c>
    </row>
    <row r="702" spans="1:78" s="142" customFormat="1" ht="4.5" hidden="1" customHeight="1">
      <c r="A702" s="808"/>
      <c r="B702" s="166"/>
      <c r="C702" s="166"/>
      <c r="D702" s="180"/>
      <c r="O702" s="733"/>
      <c r="P702" s="33"/>
      <c r="Q702" s="33"/>
      <c r="R702" s="33"/>
      <c r="S702" s="174"/>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hidden="1" customHeight="1">
      <c r="A703" s="808"/>
      <c r="B703" s="166"/>
      <c r="C703" s="166"/>
      <c r="D703" s="1558" t="str">
        <f>Translations!$B$674</f>
        <v>Pakopos galioja nuo:</v>
      </c>
      <c r="E703" s="1558"/>
      <c r="F703" s="1559"/>
      <c r="G703" s="1052"/>
      <c r="H703" s="615" t="str">
        <f>Translations!$B$675</f>
        <v>iki:</v>
      </c>
      <c r="I703" s="1052"/>
      <c r="J703" s="1536" t="str">
        <f>Translations!$B$676</f>
        <v>Atliekų katalogo numeris (jeigu taikytina):</v>
      </c>
      <c r="K703" s="1537"/>
      <c r="L703" s="1537"/>
      <c r="M703" s="1538"/>
      <c r="N703" s="1289"/>
      <c r="O703" s="733"/>
      <c r="P703" s="33"/>
      <c r="Q703" s="33"/>
      <c r="R703" s="33"/>
      <c r="S703" s="1290"/>
      <c r="T703" s="492"/>
      <c r="U703" s="492"/>
      <c r="V703" s="48" t="b">
        <f>IF(V693="",FALSE,INDEX(CNTR_IsWaste,MATCH(V693,MSParameters!$A$218:$A$376,0)))</f>
        <v>0</v>
      </c>
      <c r="W703" s="1290"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hidden="1" customHeight="1">
      <c r="A704" s="808"/>
      <c r="B704" s="166"/>
      <c r="C704" s="166"/>
      <c r="D704" s="615"/>
      <c r="E704" s="495"/>
      <c r="F704" s="495"/>
      <c r="G704" s="495"/>
      <c r="H704" s="495"/>
      <c r="I704" s="495"/>
      <c r="J704" s="495"/>
      <c r="K704" s="495"/>
      <c r="L704" s="495"/>
      <c r="M704" s="495"/>
      <c r="N704" s="495"/>
      <c r="O704" s="733"/>
      <c r="P704" s="33"/>
      <c r="Q704" s="33"/>
      <c r="R704" s="33"/>
      <c r="S704" s="174"/>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hidden="1" customHeight="1">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3"/>
      <c r="Q705" s="33"/>
      <c r="R705" s="33"/>
      <c r="S705" s="174"/>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hidden="1" customHeight="1">
      <c r="A706" s="815"/>
      <c r="D706" s="180"/>
      <c r="O706" s="573"/>
      <c r="P706" s="497"/>
      <c r="Q706" s="497"/>
      <c r="R706" s="497"/>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hidden="1">
      <c r="A707" s="815"/>
      <c r="D707" s="1534" t="str">
        <f>Translations!$B$160</f>
        <v>Pastabos:</v>
      </c>
      <c r="E707" s="1535"/>
      <c r="F707" s="1539"/>
      <c r="G707" s="1540"/>
      <c r="H707" s="1540"/>
      <c r="I707" s="1540"/>
      <c r="J707" s="1540"/>
      <c r="K707" s="1540"/>
      <c r="L707" s="1540"/>
      <c r="M707" s="1540"/>
      <c r="N707" s="1541"/>
      <c r="O707" s="573"/>
      <c r="P707" s="497"/>
      <c r="Q707" s="497"/>
      <c r="R707" s="497"/>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c r="A708" s="808"/>
      <c r="B708" s="495"/>
      <c r="C708" s="499"/>
      <c r="D708" s="500"/>
      <c r="E708" s="501"/>
      <c r="F708" s="499"/>
      <c r="G708" s="502"/>
      <c r="H708" s="502"/>
      <c r="I708" s="502"/>
      <c r="J708" s="502"/>
      <c r="K708" s="502"/>
      <c r="L708" s="502"/>
      <c r="M708" s="502"/>
      <c r="N708" s="502"/>
      <c r="O708" s="740"/>
      <c r="P708" s="494"/>
      <c r="Q708" s="494"/>
      <c r="R708" s="494"/>
      <c r="S708" s="58"/>
      <c r="T708" s="58"/>
      <c r="U708" s="498"/>
      <c r="V708" s="58"/>
      <c r="W708" s="58"/>
      <c r="X708" s="49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c r="A709" s="813"/>
      <c r="B709" s="495"/>
      <c r="C709" s="495"/>
      <c r="D709" s="180"/>
      <c r="E709" s="496"/>
      <c r="F709" s="495"/>
      <c r="G709" s="487"/>
      <c r="H709" s="487"/>
      <c r="I709" s="487"/>
      <c r="J709" s="487"/>
      <c r="K709" s="495"/>
      <c r="L709" s="487"/>
      <c r="M709" s="487"/>
      <c r="N709" s="487"/>
      <c r="O709" s="740"/>
      <c r="P709" s="494"/>
      <c r="Q709" s="494"/>
      <c r="R709" s="494"/>
      <c r="S709" s="23"/>
      <c r="T709" s="27" t="str">
        <f>IF(ISBLANK(E710),"",MATCH(E710,CNTR_SourceStreamNames,0))</f>
        <v/>
      </c>
      <c r="U709" s="618"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3" t="s">
        <v>262</v>
      </c>
    </row>
    <row r="710" spans="1:78" s="142" customFormat="1" ht="15" hidden="1" customHeight="1" thickBot="1">
      <c r="A710" s="869" t="str">
        <f>IF(E710="","","PRINT")</f>
        <v/>
      </c>
      <c r="B710" s="166"/>
      <c r="C710" s="617">
        <f>C683+1</f>
        <v>25</v>
      </c>
      <c r="D710" s="166"/>
      <c r="E710" s="1542"/>
      <c r="F710" s="1543"/>
      <c r="G710" s="1543"/>
      <c r="H710" s="1543"/>
      <c r="I710" s="1543"/>
      <c r="J710" s="1544"/>
      <c r="K710" s="1545" t="str">
        <f>IF(E711="","",INDEX(EUwideConstants!$F$353:$F$394,MATCH(E711,EUConst_TierActivityListNames,0)))</f>
        <v/>
      </c>
      <c r="L710" s="1546"/>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3"/>
      <c r="T710" s="509" t="s">
        <v>393</v>
      </c>
      <c r="U710" s="23"/>
      <c r="V710" s="78"/>
      <c r="W710" s="56"/>
      <c r="X710" s="58"/>
      <c r="Y710" s="58"/>
      <c r="Z710" s="58"/>
      <c r="AA710" s="58"/>
      <c r="AB710" s="58"/>
      <c r="AC710" s="58"/>
      <c r="AD710" s="58"/>
      <c r="AE710" s="58"/>
      <c r="AF710" s="58"/>
      <c r="AG710" s="58"/>
      <c r="AH710" s="58"/>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6"/>
      <c r="BZ710" s="619" t="b">
        <f>CNTR_CalcRelevant=EUconst_NotRelevant</f>
        <v>0</v>
      </c>
    </row>
    <row r="711" spans="1:78" s="142" customFormat="1" ht="15" hidden="1" customHeight="1" thickBot="1">
      <c r="A711" s="808"/>
      <c r="B711" s="166"/>
      <c r="C711" s="166"/>
      <c r="D711" s="166"/>
      <c r="E711" s="1547" t="str">
        <f>IF(ISBLANK(E710),"",IF(INDEX(B_InstallationDescription!$E$71:$E$145,MATCH(U709,B_InstallationDescription!$D$71:$D$145,0))&gt;0,INDEX(B_InstallationDescription!$E$71:$E$145,MATCH(U709,B_InstallationDescription!$D$71:$D$145,0)),""))</f>
        <v/>
      </c>
      <c r="F711" s="1548"/>
      <c r="G711" s="1548"/>
      <c r="H711" s="1548"/>
      <c r="I711" s="1548"/>
      <c r="J711" s="1549"/>
      <c r="M711" s="346" t="str">
        <f>Translations!$B$666</f>
        <v>CO2, biomasės kilmės.:</v>
      </c>
      <c r="N711" s="1051" t="str">
        <f>IF(OR(K710="",T711=TRUE),"",INDEX(BC723:BE723,MATCH(K710,BC720:BE720,0)))</f>
        <v/>
      </c>
      <c r="O711" s="742" t="s">
        <v>260</v>
      </c>
      <c r="P711" s="494"/>
      <c r="Q711" s="352" t="str">
        <f>EUconst_SumBioCO2 &amp; "_" &amp; K710</f>
        <v>SUM_bioCO2_</v>
      </c>
      <c r="R711" s="494"/>
      <c r="S711" s="23"/>
      <c r="T711" s="48" t="str">
        <f>IF(E711="","",MATCH(E711,EUConst_TierActivityListNames,0)&gt;40)</f>
        <v/>
      </c>
      <c r="U711" s="23"/>
      <c r="V711" s="78"/>
      <c r="W711" s="56"/>
      <c r="X711" s="58"/>
      <c r="Y711" s="27" t="s">
        <v>93</v>
      </c>
      <c r="Z711" s="30"/>
      <c r="AA711" s="30"/>
      <c r="AB711" s="30"/>
      <c r="AC711" s="30"/>
      <c r="AD711" s="30"/>
      <c r="AE711" s="27" t="s">
        <v>302</v>
      </c>
      <c r="AF711" s="58"/>
      <c r="AG711" s="504"/>
      <c r="AH711" s="30"/>
      <c r="AI711" s="30"/>
      <c r="AJ711" s="504"/>
      <c r="AK711" s="504"/>
      <c r="AL711" s="342"/>
      <c r="AM711" s="27" t="s">
        <v>308</v>
      </c>
      <c r="AN711" s="505"/>
      <c r="AO711" s="505"/>
      <c r="AP711" s="30"/>
      <c r="AQ711" s="30"/>
      <c r="AR711" s="30"/>
      <c r="AS711" s="30"/>
      <c r="AT711" s="30"/>
      <c r="AU711" s="30"/>
      <c r="AV711" s="27" t="s">
        <v>315</v>
      </c>
      <c r="AW711" s="30"/>
      <c r="AX711" s="492"/>
      <c r="AY711" s="30"/>
      <c r="AZ711" s="30"/>
      <c r="BA711" s="30"/>
      <c r="BB711" s="27" t="s">
        <v>219</v>
      </c>
      <c r="BC711" s="30"/>
      <c r="BD711" s="30"/>
      <c r="BE711" s="30"/>
      <c r="BF711" s="30"/>
      <c r="BG711" s="27"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0"/>
      <c r="BZ711" s="30"/>
    </row>
    <row r="712" spans="1:78" s="142" customFormat="1" ht="5.0999999999999996" hidden="1" customHeight="1">
      <c r="A712" s="808"/>
      <c r="B712" s="166"/>
      <c r="C712" s="166"/>
      <c r="D712" s="166"/>
      <c r="E712" s="166"/>
      <c r="F712" s="166"/>
      <c r="G712" s="166"/>
      <c r="M712" s="143"/>
      <c r="N712" s="143"/>
      <c r="O712" s="733"/>
      <c r="P712" s="33"/>
      <c r="Q712" s="33"/>
      <c r="R712" s="33"/>
      <c r="S712" s="23"/>
      <c r="T712" s="23"/>
      <c r="U712" s="23"/>
      <c r="V712" s="78"/>
      <c r="W712" s="30"/>
      <c r="X712" s="30"/>
      <c r="Y712" s="494"/>
      <c r="Z712" s="30"/>
      <c r="AA712" s="30"/>
      <c r="AB712" s="30"/>
      <c r="AC712" s="30"/>
      <c r="AD712" s="30"/>
      <c r="AE712" s="30"/>
      <c r="AF712" s="58"/>
      <c r="AG712" s="30"/>
      <c r="AH712" s="30"/>
      <c r="AI712" s="30"/>
      <c r="AJ712" s="504"/>
      <c r="AK712" s="504"/>
      <c r="AL712" s="342"/>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hidden="1" customHeight="1" thickBot="1">
      <c r="A713" s="808"/>
      <c r="B713" s="166"/>
      <c r="C713" s="166"/>
      <c r="D713" s="166"/>
      <c r="E713" s="1550" t="str">
        <f>IF(E710="","",IF(T711=TRUE,HYPERLINK("#JUMP_14",EUconst_MsgGoOnPFC),HYPERLINK("#JUMP_E_8",EUconst_FurtherGuidancePoint1)))</f>
        <v/>
      </c>
      <c r="F713" s="1550"/>
      <c r="G713" s="1550"/>
      <c r="H713" s="1550"/>
      <c r="I713" s="1550"/>
      <c r="J713" s="1550"/>
      <c r="K713" s="1550"/>
      <c r="L713" s="1550"/>
      <c r="M713" s="1550"/>
      <c r="N713" s="143"/>
      <c r="O713" s="733"/>
      <c r="P713" s="33"/>
      <c r="Q713" s="352" t="str">
        <f>EUconst_SumNonSustBioCO2 &amp; "_" &amp; K710</f>
        <v>SUM_bioNonSustCO2_</v>
      </c>
      <c r="R713" s="707"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4"/>
      <c r="AK713" s="504"/>
      <c r="AL713" s="342"/>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hidden="1" customHeight="1">
      <c r="A714" s="808"/>
      <c r="B714" s="166"/>
      <c r="C714" s="166"/>
      <c r="D714" s="166"/>
      <c r="E714" s="166"/>
      <c r="F714" s="166"/>
      <c r="G714" s="166"/>
      <c r="M714" s="143"/>
      <c r="N714" s="143"/>
      <c r="O714" s="733"/>
      <c r="P714" s="23"/>
      <c r="Q714" s="23"/>
      <c r="R714" s="23"/>
      <c r="S714" s="23"/>
      <c r="T714" s="23"/>
      <c r="U714" s="23"/>
      <c r="V714" s="30"/>
      <c r="W714" s="30"/>
      <c r="X714" s="30"/>
      <c r="Y714" s="494"/>
      <c r="Z714" s="30"/>
      <c r="AA714" s="30"/>
      <c r="AB714" s="30"/>
      <c r="AC714" s="30"/>
      <c r="AD714" s="30"/>
      <c r="AE714" s="30"/>
      <c r="AF714" s="58"/>
      <c r="AG714" s="30"/>
      <c r="AH714" s="30"/>
      <c r="AI714" s="30"/>
      <c r="AJ714" s="504"/>
      <c r="AK714" s="504"/>
      <c r="AL714" s="342"/>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hidden="1" customHeight="1" thickBot="1">
      <c r="A715" s="808"/>
      <c r="B715" s="166"/>
      <c r="C715" s="814" t="s">
        <v>4</v>
      </c>
      <c r="D715" s="512" t="str">
        <f>Translations!$B$622</f>
        <v>VD:</v>
      </c>
      <c r="E715" s="1560" t="str">
        <f>Translations!$B$667</f>
        <v>Ar veiklos duomenys gaunami sudedant išmatuotus kiekius (t. y. ne atliekant nuolatinius matavimus)?</v>
      </c>
      <c r="F715" s="1560"/>
      <c r="G715" s="1560"/>
      <c r="H715" s="1560"/>
      <c r="I715" s="1560"/>
      <c r="J715" s="1560"/>
      <c r="K715" s="1560"/>
      <c r="L715" s="1179"/>
      <c r="M715" s="507"/>
      <c r="O715" s="733"/>
      <c r="P715" s="23"/>
      <c r="Q715" s="23"/>
      <c r="R715" s="23"/>
      <c r="S715" s="23"/>
      <c r="T715" s="23"/>
      <c r="U715" s="23"/>
      <c r="V715" s="30"/>
      <c r="W715" s="30"/>
      <c r="X715" s="30"/>
      <c r="Y715" s="494"/>
      <c r="Z715" s="30"/>
      <c r="AA715" s="30"/>
      <c r="AB715" s="30"/>
      <c r="AC715" s="1172" t="b">
        <f>AND(E710&lt;&gt;"",T711&lt;&gt;TRUE)</f>
        <v>0</v>
      </c>
      <c r="AD715" s="30"/>
      <c r="AE715" s="30"/>
      <c r="AF715" s="58"/>
      <c r="AG715" s="30"/>
      <c r="AH715" s="30"/>
      <c r="AI715" s="30"/>
      <c r="AJ715" s="504"/>
      <c r="AK715" s="504"/>
      <c r="AL715" s="342"/>
      <c r="AM715" s="30"/>
      <c r="AN715" s="30"/>
      <c r="AO715" s="30"/>
      <c r="AP715" s="30"/>
      <c r="AQ715" s="30"/>
      <c r="AR715" s="30"/>
      <c r="AS715" s="30"/>
      <c r="AT715" s="1172"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2" t="b">
        <f>OR(CNTR_CalcRelevant=EUconst_NotRelevant,AND(COUNTA(CNTR_ListRelevantSections)&gt;0,OR(T711=TRUE,E710="")))</f>
        <v>1</v>
      </c>
    </row>
    <row r="716" spans="1:78" s="142" customFormat="1" ht="5.0999999999999996" hidden="1" customHeight="1">
      <c r="A716" s="808"/>
      <c r="B716" s="166"/>
      <c r="C716" s="166"/>
      <c r="D716" s="166"/>
      <c r="E716" s="166"/>
      <c r="F716" s="166"/>
      <c r="G716" s="166"/>
      <c r="H716" s="495"/>
      <c r="I716" s="495"/>
      <c r="J716" s="495"/>
      <c r="K716" s="495"/>
      <c r="L716" s="495"/>
      <c r="M716" s="507"/>
      <c r="O716" s="733"/>
      <c r="P716" s="23"/>
      <c r="Q716" s="23"/>
      <c r="R716" s="23"/>
      <c r="S716" s="23"/>
      <c r="T716" s="23"/>
      <c r="U716" s="23"/>
      <c r="V716" s="30"/>
      <c r="W716" s="30"/>
      <c r="X716" s="30"/>
      <c r="Y716" s="494"/>
      <c r="Z716" s="30"/>
      <c r="AA716" s="30"/>
      <c r="AB716" s="30"/>
      <c r="AC716" s="492"/>
      <c r="AD716" s="30"/>
      <c r="AE716" s="30"/>
      <c r="AF716" s="58"/>
      <c r="AG716" s="30"/>
      <c r="AH716" s="30"/>
      <c r="AI716" s="30"/>
      <c r="AJ716" s="504"/>
      <c r="AK716" s="504"/>
      <c r="AL716" s="342"/>
      <c r="AM716" s="30"/>
      <c r="AN716" s="30"/>
      <c r="AO716" s="30"/>
      <c r="AP716" s="30"/>
      <c r="AQ716" s="30"/>
      <c r="AR716" s="30"/>
      <c r="AS716" s="30"/>
      <c r="AT716" s="492"/>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2"/>
    </row>
    <row r="717" spans="1:78" s="142" customFormat="1" ht="12.75" hidden="1" customHeight="1" thickBot="1">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3"/>
      <c r="Q717" s="23"/>
      <c r="R717" s="23"/>
      <c r="S717" s="23"/>
      <c r="T717" s="23"/>
      <c r="U717" s="23"/>
      <c r="V717" s="30"/>
      <c r="W717" s="30"/>
      <c r="X717" s="30"/>
      <c r="Y717" s="494"/>
      <c r="Z717" s="30"/>
      <c r="AA717" s="30"/>
      <c r="AB717" s="30"/>
      <c r="AC717" s="1172" t="b">
        <f>AC715</f>
        <v>0</v>
      </c>
      <c r="AD717" s="30"/>
      <c r="AE717" s="30"/>
      <c r="AF717" s="58"/>
      <c r="AG717" s="30"/>
      <c r="AH717" s="30"/>
      <c r="AI717" s="30"/>
      <c r="AJ717" s="504"/>
      <c r="AK717" s="504"/>
      <c r="AL717" s="342"/>
      <c r="AM717" s="30"/>
      <c r="AN717" s="30"/>
      <c r="AO717" s="30"/>
      <c r="AP717" s="30"/>
      <c r="AQ717" s="30"/>
      <c r="AR717" s="30"/>
      <c r="AS717" s="30"/>
      <c r="AT717" s="1172"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2" t="b">
        <f>OR(BZ715,AND(NOT(ISBLANK(L715)),L715=FALSE))</f>
        <v>1</v>
      </c>
    </row>
    <row r="718" spans="1:78" s="142" customFormat="1" ht="5.0999999999999996" hidden="1" customHeight="1">
      <c r="A718" s="808"/>
      <c r="B718" s="166"/>
      <c r="C718" s="166"/>
      <c r="D718" s="166"/>
      <c r="E718" s="166"/>
      <c r="F718" s="166"/>
      <c r="G718" s="166"/>
      <c r="M718" s="143"/>
      <c r="N718" s="143"/>
      <c r="O718" s="733"/>
      <c r="P718" s="23"/>
      <c r="Q718" s="23"/>
      <c r="R718" s="23"/>
      <c r="S718" s="23"/>
      <c r="T718" s="23"/>
      <c r="U718" s="23"/>
      <c r="V718" s="30"/>
      <c r="W718" s="30"/>
      <c r="X718" s="30"/>
      <c r="Y718" s="494"/>
      <c r="Z718" s="30"/>
      <c r="AA718" s="30"/>
      <c r="AB718" s="30"/>
      <c r="AC718" s="30"/>
      <c r="AD718" s="30"/>
      <c r="AE718" s="30"/>
      <c r="AF718" s="58"/>
      <c r="AG718" s="30"/>
      <c r="AH718" s="30"/>
      <c r="AI718" s="30"/>
      <c r="AJ718" s="504"/>
      <c r="AK718" s="504"/>
      <c r="AL718" s="342"/>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hidden="1" customHeight="1" thickBot="1">
      <c r="A719" s="808"/>
      <c r="B719" s="166"/>
      <c r="C719" s="166"/>
      <c r="D719" s="166"/>
      <c r="E719" s="166"/>
      <c r="F719" s="506" t="str">
        <f>Translations!$B$333</f>
        <v>Pakopa</v>
      </c>
      <c r="G719" s="1557" t="str">
        <f>Translations!$B$672</f>
        <v>pakopos aprašas</v>
      </c>
      <c r="H719" s="1557"/>
      <c r="I719" s="1555" t="str">
        <f>Translations!$B$158</f>
        <v>Vienetas</v>
      </c>
      <c r="J719" s="1555"/>
      <c r="K719" s="1555" t="str">
        <f>Translations!$B$673</f>
        <v>Vertė</v>
      </c>
      <c r="L719" s="1555"/>
      <c r="M719" s="507" t="str">
        <f>Translations!$B$610</f>
        <v>klaida</v>
      </c>
      <c r="O719" s="733"/>
      <c r="P719" s="508"/>
      <c r="Q719" s="352" t="str">
        <f>EUconst_SumEnergyIN &amp; "_" &amp; K710</f>
        <v>SUM_EnergyIN_</v>
      </c>
      <c r="R719" s="399" t="str">
        <f>IF(OR(K710="",T711)=TRUE,"",INDEX(BC725:BE725,MATCH(K710,BC720:BE720,0)))</f>
        <v/>
      </c>
      <c r="S719" s="30"/>
      <c r="T719" s="489"/>
      <c r="U719" s="30"/>
      <c r="V719" s="509" t="s">
        <v>303</v>
      </c>
      <c r="W719" s="30"/>
      <c r="X719" s="30"/>
      <c r="Y719" s="494" t="s">
        <v>566</v>
      </c>
      <c r="Z719" s="494" t="s">
        <v>318</v>
      </c>
      <c r="AA719" s="30"/>
      <c r="AB719" s="30"/>
      <c r="AC719" s="505" t="s">
        <v>309</v>
      </c>
      <c r="AD719" s="30"/>
      <c r="AE719" s="30"/>
      <c r="AF719" s="492" t="s">
        <v>305</v>
      </c>
      <c r="AG719" s="492" t="s">
        <v>306</v>
      </c>
      <c r="AH719" s="494" t="s">
        <v>304</v>
      </c>
      <c r="AI719" s="504" t="s">
        <v>307</v>
      </c>
      <c r="AJ719" s="504" t="s">
        <v>567</v>
      </c>
      <c r="AK719" s="510" t="s">
        <v>311</v>
      </c>
      <c r="AL719" s="342"/>
      <c r="AM719" s="30"/>
      <c r="AN719" s="492" t="s">
        <v>305</v>
      </c>
      <c r="AO719" s="492" t="s">
        <v>306</v>
      </c>
      <c r="AP719" s="511" t="s">
        <v>310</v>
      </c>
      <c r="AQ719" s="504" t="s">
        <v>569</v>
      </c>
      <c r="AR719" s="504" t="s">
        <v>568</v>
      </c>
      <c r="AS719" s="510" t="s">
        <v>609</v>
      </c>
      <c r="AT719" s="510" t="s">
        <v>609</v>
      </c>
      <c r="AU719" s="30"/>
      <c r="AV719" s="492"/>
      <c r="AW719" s="492"/>
      <c r="AX719" s="492" t="s">
        <v>321</v>
      </c>
      <c r="AY719" s="492"/>
      <c r="AZ719" s="492"/>
      <c r="BA719" s="492"/>
      <c r="BB719" s="492"/>
      <c r="BC719" s="492"/>
      <c r="BD719" s="492"/>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3" t="s">
        <v>262</v>
      </c>
    </row>
    <row r="720" spans="1:78" s="142" customFormat="1" ht="12.75" hidden="1" customHeight="1" thickBot="1">
      <c r="A720" s="808"/>
      <c r="B720" s="166"/>
      <c r="C720" s="777" t="s">
        <v>196</v>
      </c>
      <c r="D720" s="512" t="str">
        <f>Translations!$B$622</f>
        <v>VD:</v>
      </c>
      <c r="E720" s="513"/>
      <c r="F720" s="402"/>
      <c r="G720" s="1532" t="str">
        <f>IF(OR(ISBLANK(F720),F720=EUconst_NoTier),"",IF(Z720=0,EUconst_NA,IF(ISERROR(Z720),"",Z720)))</f>
        <v/>
      </c>
      <c r="H720" s="1533"/>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0"/>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0"/>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0"/>
      <c r="AV720" s="492" t="s">
        <v>314</v>
      </c>
      <c r="AW720" s="492" t="s">
        <v>319</v>
      </c>
      <c r="AX720" s="524"/>
      <c r="AY720" s="30" t="s">
        <v>542</v>
      </c>
      <c r="AZ720" s="30"/>
      <c r="BA720" s="30"/>
      <c r="BB720" s="504"/>
      <c r="BC720" s="493" t="str">
        <f>EUconst_Fuel</f>
        <v>Degimas</v>
      </c>
      <c r="BD720" s="493" t="str">
        <f>EUconst_ProcessCarbonate</f>
        <v>Proceso metu išsiskiriančios ŠESD</v>
      </c>
      <c r="BE720" s="493"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4" t="b">
        <f>BZ715</f>
        <v>1</v>
      </c>
    </row>
    <row r="721" spans="1:78" s="142" customFormat="1" ht="5.0999999999999996" hidden="1" customHeight="1">
      <c r="A721" s="808"/>
      <c r="B721" s="166"/>
      <c r="C721" s="814"/>
      <c r="D721" s="306"/>
      <c r="F721" s="143"/>
      <c r="G721" s="143"/>
      <c r="H721" s="143" t="s">
        <v>236</v>
      </c>
      <c r="I721" s="525"/>
      <c r="J721" s="525"/>
      <c r="K721" s="143"/>
      <c r="L721" s="143"/>
      <c r="M721" s="710"/>
      <c r="O721" s="733"/>
      <c r="P721" s="33"/>
      <c r="Q721" s="33"/>
      <c r="R721" s="33"/>
      <c r="S721" s="30"/>
      <c r="T721" s="155"/>
      <c r="U721" s="497"/>
      <c r="V721" s="30"/>
      <c r="W721" s="30"/>
      <c r="X721" s="497"/>
      <c r="Y721" s="526"/>
      <c r="Z721" s="30"/>
      <c r="AA721" s="30"/>
      <c r="AB721" s="30"/>
      <c r="AC721" s="30"/>
      <c r="AD721" s="30"/>
      <c r="AE721" s="30"/>
      <c r="AF721" s="30"/>
      <c r="AG721" s="30"/>
      <c r="AH721" s="30"/>
      <c r="AI721" s="30"/>
      <c r="AJ721" s="30"/>
      <c r="AK721" s="30"/>
      <c r="AL721" s="342"/>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3"/>
    </row>
    <row r="722" spans="1:78" s="142" customFormat="1" ht="12.75" hidden="1" customHeight="1" thickBot="1">
      <c r="A722" s="808"/>
      <c r="B722" s="166"/>
      <c r="C722" s="814" t="s">
        <v>197</v>
      </c>
      <c r="D722" s="512" t="str">
        <f>Translations!$B$634</f>
        <v>(prelim.) ITF:</v>
      </c>
      <c r="E722" s="513"/>
      <c r="F722" s="527"/>
      <c r="G722" s="1532" t="str">
        <f t="shared" ref="G722:G728" si="168">IF(OR(ISBLANK(F722),F722=EUconst_NoTier),"",IF(Z722=0,EUconst_NotApplicable,IF(ISERROR(Z722),"",Z722)))</f>
        <v/>
      </c>
      <c r="H722" s="1556"/>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3"/>
      <c r="Q722" s="33"/>
      <c r="R722" s="33"/>
      <c r="S722" s="30"/>
      <c r="T722" s="530" t="str">
        <f>EUconst_CNTR_EF&amp;E711</f>
        <v>EF_</v>
      </c>
      <c r="U722" s="497"/>
      <c r="V722" s="531" t="str">
        <f>V720</f>
        <v/>
      </c>
      <c r="W722" s="30"/>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0"/>
      <c r="AC722" s="535" t="b">
        <f>AND(AC720,Y722&lt;&gt;EUconst_NA)</f>
        <v>0</v>
      </c>
      <c r="AD722" s="30"/>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0"/>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0"/>
      <c r="BA722" s="30"/>
      <c r="BB722" s="547" t="s">
        <v>594</v>
      </c>
      <c r="BC722" s="546" t="str">
        <f>IF(K710=BC720,AR720*IF(AJ722=EUconst_tCO2pTJ,(AR723/1000),1)*AR722*AR724*AR728,"")</f>
        <v/>
      </c>
      <c r="BD722" s="524" t="str">
        <f>IF(K710=BD720,AR720*AR722*AR725*AR728,"")</f>
        <v/>
      </c>
      <c r="BE722" s="523"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1" t="b">
        <f>OR(BZ720,Y722=EUconst_NA)</f>
        <v>1</v>
      </c>
    </row>
    <row r="723" spans="1:78" s="142" customFormat="1" ht="12.75" hidden="1" customHeight="1" thickBot="1">
      <c r="A723" s="808"/>
      <c r="B723" s="166"/>
      <c r="C723" s="814" t="s">
        <v>198</v>
      </c>
      <c r="D723" s="512" t="str">
        <f>Translations!$B$636</f>
        <v>GŠV:</v>
      </c>
      <c r="E723" s="513"/>
      <c r="F723" s="548"/>
      <c r="G723" s="1532" t="str">
        <f t="shared" si="168"/>
        <v/>
      </c>
      <c r="H723" s="1533"/>
      <c r="I723" s="1169" t="str">
        <f>AJ723</f>
        <v/>
      </c>
      <c r="J723" s="549"/>
      <c r="K723" s="550" t="str">
        <f t="shared" si="169"/>
        <v/>
      </c>
      <c r="L723" s="551"/>
      <c r="M723" s="709" t="str">
        <f>IF(AND(E711&lt;&gt;"",OR(F723="",COUNT(K723:L723)=0),Y723&lt;&gt;EUconst_NA,T711&lt;&gt;TRUE),EUconst_ERR_Incomplete,IF(COUNTIF(AX723:AZ723,TRUE)&gt;0,EUconst_ERR_Inconsistent,""))</f>
        <v/>
      </c>
      <c r="O723" s="733"/>
      <c r="P723" s="33"/>
      <c r="Q723" s="33"/>
      <c r="R723" s="33"/>
      <c r="S723" s="30"/>
      <c r="T723" s="552" t="str">
        <f>EUconst_CNTR_NCV&amp;E711</f>
        <v>NCV_</v>
      </c>
      <c r="U723" s="497"/>
      <c r="V723" s="553" t="str">
        <f t="shared" ref="V723:V728" si="174">V722</f>
        <v/>
      </c>
      <c r="W723" s="30"/>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0"/>
      <c r="AC723" s="557" t="b">
        <f>AND(AC720,Y723&lt;&gt;EUconst_NA)</f>
        <v>0</v>
      </c>
      <c r="AD723" s="30"/>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0"/>
      <c r="AV723" s="567" t="b">
        <f t="shared" si="171"/>
        <v>0</v>
      </c>
      <c r="AW723" s="568" t="b">
        <f t="shared" si="172"/>
        <v>0</v>
      </c>
      <c r="AX723" s="30"/>
      <c r="AY723" s="553" t="b">
        <f t="shared" si="173"/>
        <v>0</v>
      </c>
      <c r="AZ723" s="30"/>
      <c r="BA723" s="30"/>
      <c r="BB723" s="547" t="s">
        <v>595</v>
      </c>
      <c r="BC723" s="546" t="str">
        <f>IF(K710=BC720,AR720*IF(AJ722=EUconst_tCO2pTJ,(AR723/1000),1)*AR722*AR724*AR727,"")</f>
        <v/>
      </c>
      <c r="BD723" s="524" t="str">
        <f>IF(K710=BD720,AR720*AR722*AR725*AR727,"")</f>
        <v/>
      </c>
      <c r="BE723" s="523"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3" t="b">
        <f>OR(BZ720,Y723=EUconst_NA)</f>
        <v>1</v>
      </c>
    </row>
    <row r="724" spans="1:78" s="142" customFormat="1" ht="12.75" hidden="1" customHeight="1" thickBot="1">
      <c r="A724" s="808"/>
      <c r="B724" s="166"/>
      <c r="C724" s="814" t="s">
        <v>199</v>
      </c>
      <c r="D724" s="512" t="str">
        <f>Translations!$B$638</f>
        <v>OksK:</v>
      </c>
      <c r="E724" s="513"/>
      <c r="F724" s="548"/>
      <c r="G724" s="1532" t="str">
        <f t="shared" si="168"/>
        <v/>
      </c>
      <c r="H724" s="1533"/>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3"/>
      <c r="Q724" s="33"/>
      <c r="R724" s="33"/>
      <c r="S724" s="30"/>
      <c r="T724" s="552" t="str">
        <f>EUconst_CNTR_OxidationFactor&amp;E711</f>
        <v>OxF_</v>
      </c>
      <c r="U724" s="497"/>
      <c r="V724" s="553" t="str">
        <f t="shared" si="174"/>
        <v/>
      </c>
      <c r="W724" s="30"/>
      <c r="X724" s="497"/>
      <c r="Y724" s="554" t="str">
        <f>IF(OR(T711=TRUE,E711=""),"",INDEX(EUwideConstants!$N:$N,MATCH(T724,EUwideConstants!$Q:$Q,0)))</f>
        <v/>
      </c>
      <c r="Z724" s="555" t="str">
        <f>IF(ISBLANK(F724),"",IF(F724=EUconst_NA,"",INDEX(EUwideConstants!$H:$M,MATCH(T724,EUwideConstants!$Q:$Q,0),MATCH(F724,CNTR_TierList,0))))</f>
        <v/>
      </c>
      <c r="AA724" s="534" t="str">
        <f>IF(F724=1,1,"")</f>
        <v/>
      </c>
      <c r="AB724" s="30"/>
      <c r="AC724" s="557" t="b">
        <f>AND(AC720,Y724&lt;&gt;EUconst_NA)</f>
        <v>0</v>
      </c>
      <c r="AD724" s="30"/>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0"/>
      <c r="AV724" s="567" t="b">
        <f t="shared" si="171"/>
        <v>0</v>
      </c>
      <c r="AW724" s="568" t="b">
        <f t="shared" si="172"/>
        <v>0</v>
      </c>
      <c r="AX724" s="30"/>
      <c r="AY724" s="594" t="b">
        <f t="shared" si="173"/>
        <v>0</v>
      </c>
      <c r="AZ724" s="531" t="b">
        <f>AR724&gt;100%</f>
        <v>0</v>
      </c>
      <c r="BA724" s="30"/>
      <c r="BB724" s="547" t="s">
        <v>290</v>
      </c>
      <c r="BC724" s="546" t="str">
        <f>IF(K710=BC720,AR720*IF(AJ722=EUconst_tCO2pTJ,(AR723/1000),1)*AR722*AR724*(1-AR727),"")</f>
        <v/>
      </c>
      <c r="BD724" s="524" t="str">
        <f>IF(K710=BD720,AR720*AR722*AR725*(1-AR727),"")</f>
        <v/>
      </c>
      <c r="BE724" s="523"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3" t="b">
        <f>OR(BZ720,Y724=EUconst_NA)</f>
        <v>1</v>
      </c>
    </row>
    <row r="725" spans="1:78" s="142" customFormat="1" ht="12.75" hidden="1" customHeight="1" thickBot="1">
      <c r="A725" s="808"/>
      <c r="B725" s="166"/>
      <c r="C725" s="814" t="s">
        <v>200</v>
      </c>
      <c r="D725" s="512" t="str">
        <f>Translations!$B$639</f>
        <v>KonvK:</v>
      </c>
      <c r="E725" s="513"/>
      <c r="F725" s="548"/>
      <c r="G725" s="1532" t="str">
        <f t="shared" si="168"/>
        <v/>
      </c>
      <c r="H725" s="1533"/>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3"/>
      <c r="Q725" s="33"/>
      <c r="R725" s="33"/>
      <c r="S725" s="30"/>
      <c r="T725" s="552" t="str">
        <f>EUconst_CNTR_ConversionFactor&amp;E711</f>
        <v>ConvF_</v>
      </c>
      <c r="U725" s="497"/>
      <c r="V725" s="553" t="str">
        <f t="shared" si="174"/>
        <v/>
      </c>
      <c r="W725" s="30"/>
      <c r="X725" s="497"/>
      <c r="Y725" s="554" t="str">
        <f>IF(OR(T711=TRUE,E711=""),"",INDEX(EUwideConstants!$N:$N,MATCH(T725,EUwideConstants!$Q:$Q,0)))</f>
        <v/>
      </c>
      <c r="Z725" s="555" t="str">
        <f>IF(ISBLANK(F725),"",IF(F725=EUconst_NA,"",INDEX(EUwideConstants!$H:$M,MATCH(T725,EUwideConstants!$Q:$Q,0),MATCH(F725,CNTR_TierList,0))))</f>
        <v/>
      </c>
      <c r="AA725" s="582" t="str">
        <f>IF(F725=1,1,"")</f>
        <v/>
      </c>
      <c r="AB725" s="30"/>
      <c r="AC725" s="557" t="b">
        <f>AND(AC720,Y725&lt;&gt;EUconst_NA)</f>
        <v>0</v>
      </c>
      <c r="AD725" s="30"/>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0"/>
      <c r="AV725" s="567" t="b">
        <f t="shared" si="171"/>
        <v>0</v>
      </c>
      <c r="AW725" s="568" t="b">
        <f t="shared" si="172"/>
        <v>0</v>
      </c>
      <c r="AX725" s="30"/>
      <c r="AY725" s="594" t="b">
        <f t="shared" si="173"/>
        <v>0</v>
      </c>
      <c r="AZ725" s="580" t="b">
        <f>AR725&gt;100%</f>
        <v>0</v>
      </c>
      <c r="BA725" s="30"/>
      <c r="BB725" s="578" t="s">
        <v>487</v>
      </c>
      <c r="BC725" s="579">
        <f>AR720*AR723/1000*(1-AR727)</f>
        <v>0</v>
      </c>
      <c r="BD725" s="580">
        <f>BC725</f>
        <v>0</v>
      </c>
      <c r="BE725" s="581">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3" t="b">
        <f>OR(BZ720,Y725=EUconst_NA)</f>
        <v>1</v>
      </c>
    </row>
    <row r="726" spans="1:78" s="142" customFormat="1" ht="12.75" hidden="1" customHeight="1" thickBot="1">
      <c r="A726" s="808"/>
      <c r="B726" s="166"/>
      <c r="C726" s="814" t="s">
        <v>329</v>
      </c>
      <c r="D726" s="512" t="str">
        <f>Translations!$B$640</f>
        <v>AnglK:</v>
      </c>
      <c r="E726" s="513"/>
      <c r="F726" s="548"/>
      <c r="G726" s="1532" t="str">
        <f t="shared" si="168"/>
        <v/>
      </c>
      <c r="H726" s="1533"/>
      <c r="I726" s="1170" t="str">
        <f>AJ726</f>
        <v/>
      </c>
      <c r="J726" s="586"/>
      <c r="K726" s="587" t="str">
        <f t="shared" si="169"/>
        <v/>
      </c>
      <c r="L726" s="588"/>
      <c r="M726" s="709" t="str">
        <f>IF(AND(E711&lt;&gt;"",OR(F726="",COUNT(K726:L726)=0),Y726&lt;&gt;EUconst_NA,T711&lt;&gt;TRUE),EUconst_ERR_Incomplete,IF(COUNTIF(AX726:AZ726,TRUE)&gt;0,EUconst_ERR_Inconsistent,""))</f>
        <v/>
      </c>
      <c r="O726" s="733"/>
      <c r="P726" s="33"/>
      <c r="Q726" s="33"/>
      <c r="R726" s="33"/>
      <c r="S726" s="30"/>
      <c r="T726" s="552" t="str">
        <f>EUconst_CNTR_CarbonContent&amp;E711</f>
        <v>CarbC_</v>
      </c>
      <c r="U726" s="497"/>
      <c r="V726" s="553" t="str">
        <f t="shared" si="174"/>
        <v/>
      </c>
      <c r="W726" s="30"/>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0"/>
      <c r="AC726" s="557" t="b">
        <f>AND(AC720,Y726&lt;&gt;EUconst_NA)</f>
        <v>0</v>
      </c>
      <c r="AD726" s="30"/>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0"/>
      <c r="AV726" s="567" t="b">
        <f t="shared" si="171"/>
        <v>0</v>
      </c>
      <c r="AW726" s="568" t="b">
        <f t="shared" si="172"/>
        <v>0</v>
      </c>
      <c r="AX726" s="546" t="b">
        <f>OR(AND(AJ720=EUconst_kNm3,AJ726=EUconst_tCpt),AND(AJ720=EUconst_t,AJ726=EUconst_tCpkNm3))</f>
        <v>0</v>
      </c>
      <c r="AY726" s="553" t="b">
        <f t="shared" si="173"/>
        <v>0</v>
      </c>
      <c r="AZ726" s="30"/>
      <c r="BA726" s="30"/>
      <c r="BB726" s="578" t="s">
        <v>488</v>
      </c>
      <c r="BC726" s="579">
        <f>AR720*AR723/1000*AR727</f>
        <v>0</v>
      </c>
      <c r="BD726" s="580">
        <f>BC726</f>
        <v>0</v>
      </c>
      <c r="BE726" s="581">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3" t="b">
        <f>OR(BZ720,Y726=EUconst_NA)</f>
        <v>1</v>
      </c>
    </row>
    <row r="727" spans="1:78" s="142" customFormat="1" ht="12.75" hidden="1" customHeight="1">
      <c r="A727" s="808"/>
      <c r="B727" s="166"/>
      <c r="C727" s="777" t="s">
        <v>330</v>
      </c>
      <c r="D727" s="512" t="str">
        <f>Translations!$B$641</f>
        <v>BioC:</v>
      </c>
      <c r="E727" s="513"/>
      <c r="F727" s="548"/>
      <c r="G727" s="1532" t="str">
        <f t="shared" si="168"/>
        <v/>
      </c>
      <c r="H727" s="1533"/>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0"/>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0"/>
      <c r="AC727" s="557" t="b">
        <f>AND(AC720,Y727&lt;&gt;EUconst_NA)</f>
        <v>0</v>
      </c>
      <c r="AD727" s="30"/>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0"/>
      <c r="AV727" s="567" t="b">
        <f t="shared" si="171"/>
        <v>0</v>
      </c>
      <c r="AW727" s="568" t="b">
        <f t="shared" si="172"/>
        <v>0</v>
      </c>
      <c r="AX727" s="30"/>
      <c r="AY727" s="594" t="b">
        <f t="shared" si="173"/>
        <v>0</v>
      </c>
      <c r="AZ727" s="531"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3" t="b">
        <f>OR(BZ720,Y727=EUconst_NA)</f>
        <v>1</v>
      </c>
    </row>
    <row r="728" spans="1:78" s="142" customFormat="1" ht="12.75" hidden="1" customHeight="1" thickBot="1">
      <c r="A728" s="808"/>
      <c r="B728" s="166"/>
      <c r="C728" s="777" t="s">
        <v>454</v>
      </c>
      <c r="D728" s="512" t="str">
        <f>Translations!$B$647</f>
        <v>Netvar. BioC:</v>
      </c>
      <c r="E728" s="513"/>
      <c r="F728" s="597"/>
      <c r="G728" s="1532" t="str">
        <f t="shared" si="168"/>
        <v/>
      </c>
      <c r="H728" s="1533"/>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0"/>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0"/>
      <c r="AC728" s="603" t="b">
        <f>AND(AC720,Y728&lt;&gt;EUconst_NA)</f>
        <v>0</v>
      </c>
      <c r="AD728" s="30"/>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0"/>
      <c r="AV728" s="613" t="b">
        <f t="shared" si="171"/>
        <v>0</v>
      </c>
      <c r="AW728" s="614" t="b">
        <f t="shared" si="172"/>
        <v>0</v>
      </c>
      <c r="AX728" s="30"/>
      <c r="AY728" s="579" t="b">
        <f t="shared" si="173"/>
        <v>0</v>
      </c>
      <c r="AZ728" s="580"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80" t="b">
        <f>OR(BZ720,Y728=EUconst_NA)</f>
        <v>1</v>
      </c>
    </row>
    <row r="729" spans="1:78" s="142" customFormat="1" ht="4.5" hidden="1" customHeight="1">
      <c r="A729" s="808"/>
      <c r="B729" s="166"/>
      <c r="C729" s="166"/>
      <c r="D729" s="180"/>
      <c r="O729" s="733"/>
      <c r="P729" s="33"/>
      <c r="Q729" s="33"/>
      <c r="R729" s="33"/>
      <c r="S729" s="174"/>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hidden="1" customHeight="1">
      <c r="A730" s="808"/>
      <c r="B730" s="166"/>
      <c r="C730" s="166"/>
      <c r="D730" s="1558" t="str">
        <f>Translations!$B$674</f>
        <v>Pakopos galioja nuo:</v>
      </c>
      <c r="E730" s="1558"/>
      <c r="F730" s="1559"/>
      <c r="G730" s="1052"/>
      <c r="H730" s="615" t="str">
        <f>Translations!$B$675</f>
        <v>iki:</v>
      </c>
      <c r="I730" s="1052"/>
      <c r="J730" s="1536" t="str">
        <f>Translations!$B$676</f>
        <v>Atliekų katalogo numeris (jeigu taikytina):</v>
      </c>
      <c r="K730" s="1537"/>
      <c r="L730" s="1537"/>
      <c r="M730" s="1538"/>
      <c r="N730" s="1289"/>
      <c r="O730" s="733"/>
      <c r="P730" s="33"/>
      <c r="Q730" s="33"/>
      <c r="R730" s="33"/>
      <c r="S730" s="1290"/>
      <c r="T730" s="492"/>
      <c r="U730" s="492"/>
      <c r="V730" s="48" t="b">
        <f>IF(V720="",FALSE,INDEX(CNTR_IsWaste,MATCH(V720,MSParameters!$A$218:$A$376,0)))</f>
        <v>0</v>
      </c>
      <c r="W730" s="1290"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4.5" hidden="1" customHeight="1">
      <c r="A731" s="808"/>
      <c r="B731" s="166"/>
      <c r="C731" s="166"/>
      <c r="D731" s="615"/>
      <c r="E731" s="495"/>
      <c r="F731" s="495"/>
      <c r="G731" s="495"/>
      <c r="H731" s="495"/>
      <c r="I731" s="495"/>
      <c r="J731" s="495"/>
      <c r="K731" s="495"/>
      <c r="L731" s="495"/>
      <c r="M731" s="495"/>
      <c r="N731" s="495"/>
      <c r="O731" s="733"/>
      <c r="P731" s="33"/>
      <c r="Q731" s="33"/>
      <c r="R731" s="33"/>
      <c r="S731" s="174"/>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hidden="1" customHeight="1">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3"/>
      <c r="Q732" s="33"/>
      <c r="R732" s="33"/>
      <c r="S732" s="174"/>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4.5" hidden="1" customHeight="1">
      <c r="A733" s="815"/>
      <c r="D733" s="180"/>
      <c r="O733" s="573"/>
      <c r="P733" s="497"/>
      <c r="Q733" s="497"/>
      <c r="R733" s="497"/>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hidden="1">
      <c r="A734" s="815"/>
      <c r="D734" s="1534" t="str">
        <f>Translations!$B$160</f>
        <v>Pastabos:</v>
      </c>
      <c r="E734" s="1535"/>
      <c r="F734" s="1539"/>
      <c r="G734" s="1540"/>
      <c r="H734" s="1540"/>
      <c r="I734" s="1540"/>
      <c r="J734" s="1540"/>
      <c r="K734" s="1540"/>
      <c r="L734" s="1540"/>
      <c r="M734" s="1540"/>
      <c r="N734" s="1541"/>
      <c r="O734" s="573"/>
      <c r="P734" s="497"/>
      <c r="Q734" s="497"/>
      <c r="R734" s="497"/>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c r="A735" s="808"/>
      <c r="B735" s="495"/>
      <c r="C735" s="499"/>
      <c r="D735" s="500"/>
      <c r="E735" s="501"/>
      <c r="F735" s="499"/>
      <c r="G735" s="502"/>
      <c r="H735" s="502"/>
      <c r="I735" s="502"/>
      <c r="J735" s="502"/>
      <c r="K735" s="502"/>
      <c r="L735" s="502"/>
      <c r="M735" s="502"/>
      <c r="N735" s="502"/>
      <c r="O735" s="740"/>
      <c r="P735" s="494"/>
      <c r="Q735" s="494"/>
      <c r="R735" s="494"/>
      <c r="S735" s="58"/>
      <c r="T735" s="58"/>
      <c r="U735" s="498"/>
      <c r="V735" s="58"/>
      <c r="W735" s="58"/>
      <c r="X735" s="49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c r="A736" s="813"/>
      <c r="B736" s="495"/>
      <c r="C736" s="495"/>
      <c r="D736" s="180"/>
      <c r="E736" s="496"/>
      <c r="F736" s="495"/>
      <c r="G736" s="487"/>
      <c r="H736" s="487"/>
      <c r="I736" s="487"/>
      <c r="J736" s="487"/>
      <c r="K736" s="495"/>
      <c r="L736" s="487"/>
      <c r="M736" s="487"/>
      <c r="N736" s="487"/>
      <c r="O736" s="740"/>
      <c r="P736" s="494"/>
      <c r="Q736" s="494"/>
      <c r="R736" s="494"/>
      <c r="S736" s="23"/>
      <c r="T736" s="27" t="str">
        <f>IF(ISBLANK(E737),"",MATCH(E737,CNTR_SourceStreamNames,0))</f>
        <v/>
      </c>
      <c r="U736" s="618"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3" t="s">
        <v>262</v>
      </c>
    </row>
    <row r="737" spans="1:78" s="142" customFormat="1" ht="15" hidden="1" customHeight="1" thickBot="1">
      <c r="A737" s="869" t="str">
        <f>IF(E737="","","PRINT")</f>
        <v/>
      </c>
      <c r="B737" s="166"/>
      <c r="C737" s="617">
        <f>C710+1</f>
        <v>26</v>
      </c>
      <c r="D737" s="166"/>
      <c r="E737" s="1542"/>
      <c r="F737" s="1543"/>
      <c r="G737" s="1543"/>
      <c r="H737" s="1543"/>
      <c r="I737" s="1543"/>
      <c r="J737" s="1544"/>
      <c r="K737" s="1545" t="str">
        <f>IF(E738="","",INDEX(EUwideConstants!$F$353:$F$394,MATCH(E738,EUConst_TierActivityListNames,0)))</f>
        <v/>
      </c>
      <c r="L737" s="1546"/>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3"/>
      <c r="T737" s="509" t="s">
        <v>393</v>
      </c>
      <c r="U737" s="23"/>
      <c r="V737" s="78"/>
      <c r="W737" s="56"/>
      <c r="X737" s="58"/>
      <c r="Y737" s="58"/>
      <c r="Z737" s="58"/>
      <c r="AA737" s="58"/>
      <c r="AB737" s="58"/>
      <c r="AC737" s="58"/>
      <c r="AD737" s="58"/>
      <c r="AE737" s="58"/>
      <c r="AF737" s="58"/>
      <c r="AG737" s="58"/>
      <c r="AH737" s="58"/>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6"/>
      <c r="BZ737" s="619" t="b">
        <f>CNTR_CalcRelevant=EUconst_NotRelevant</f>
        <v>0</v>
      </c>
    </row>
    <row r="738" spans="1:78" s="142" customFormat="1" ht="15" hidden="1" customHeight="1" thickBot="1">
      <c r="A738" s="808"/>
      <c r="B738" s="166"/>
      <c r="C738" s="166"/>
      <c r="D738" s="166"/>
      <c r="E738" s="1547" t="str">
        <f>IF(ISBLANK(E737),"",IF(INDEX(B_InstallationDescription!$E$71:$E$145,MATCH(U736,B_InstallationDescription!$D$71:$D$145,0))&gt;0,INDEX(B_InstallationDescription!$E$71:$E$145,MATCH(U736,B_InstallationDescription!$D$71:$D$145,0)),""))</f>
        <v/>
      </c>
      <c r="F738" s="1548"/>
      <c r="G738" s="1548"/>
      <c r="H738" s="1548"/>
      <c r="I738" s="1548"/>
      <c r="J738" s="1549"/>
      <c r="M738" s="346" t="str">
        <f>Translations!$B$666</f>
        <v>CO2, biomasės kilmės.:</v>
      </c>
      <c r="N738" s="1051" t="str">
        <f>IF(OR(K737="",T738=TRUE),"",INDEX(BC750:BE750,MATCH(K737,BC747:BE747,0)))</f>
        <v/>
      </c>
      <c r="O738" s="742" t="s">
        <v>260</v>
      </c>
      <c r="P738" s="494"/>
      <c r="Q738" s="352" t="str">
        <f>EUconst_SumBioCO2 &amp; "_" &amp; K737</f>
        <v>SUM_bioCO2_</v>
      </c>
      <c r="R738" s="494"/>
      <c r="S738" s="23"/>
      <c r="T738" s="48" t="str">
        <f>IF(E738="","",MATCH(E738,EUConst_TierActivityListNames,0)&gt;40)</f>
        <v/>
      </c>
      <c r="U738" s="23"/>
      <c r="V738" s="78"/>
      <c r="W738" s="56"/>
      <c r="X738" s="58"/>
      <c r="Y738" s="27" t="s">
        <v>93</v>
      </c>
      <c r="Z738" s="30"/>
      <c r="AA738" s="30"/>
      <c r="AB738" s="30"/>
      <c r="AC738" s="30"/>
      <c r="AD738" s="30"/>
      <c r="AE738" s="27" t="s">
        <v>302</v>
      </c>
      <c r="AF738" s="58"/>
      <c r="AG738" s="504"/>
      <c r="AH738" s="30"/>
      <c r="AI738" s="30"/>
      <c r="AJ738" s="504"/>
      <c r="AK738" s="504"/>
      <c r="AL738" s="342"/>
      <c r="AM738" s="27" t="s">
        <v>308</v>
      </c>
      <c r="AN738" s="505"/>
      <c r="AO738" s="505"/>
      <c r="AP738" s="30"/>
      <c r="AQ738" s="30"/>
      <c r="AR738" s="30"/>
      <c r="AS738" s="30"/>
      <c r="AT738" s="30"/>
      <c r="AU738" s="30"/>
      <c r="AV738" s="27" t="s">
        <v>315</v>
      </c>
      <c r="AW738" s="30"/>
      <c r="AX738" s="492"/>
      <c r="AY738" s="30"/>
      <c r="AZ738" s="30"/>
      <c r="BA738" s="30"/>
      <c r="BB738" s="27" t="s">
        <v>219</v>
      </c>
      <c r="BC738" s="30"/>
      <c r="BD738" s="30"/>
      <c r="BE738" s="30"/>
      <c r="BF738" s="30"/>
      <c r="BG738" s="27"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0"/>
      <c r="BZ738" s="30"/>
    </row>
    <row r="739" spans="1:78" s="142" customFormat="1" ht="4.5" hidden="1" customHeight="1">
      <c r="A739" s="808"/>
      <c r="B739" s="166"/>
      <c r="C739" s="166"/>
      <c r="D739" s="166"/>
      <c r="E739" s="166"/>
      <c r="F739" s="166"/>
      <c r="G739" s="166"/>
      <c r="M739" s="143"/>
      <c r="N739" s="143"/>
      <c r="O739" s="733"/>
      <c r="P739" s="33"/>
      <c r="Q739" s="33"/>
      <c r="R739" s="33"/>
      <c r="S739" s="23"/>
      <c r="T739" s="23"/>
      <c r="U739" s="23"/>
      <c r="V739" s="78"/>
      <c r="W739" s="30"/>
      <c r="X739" s="30"/>
      <c r="Y739" s="494"/>
      <c r="Z739" s="30"/>
      <c r="AA739" s="30"/>
      <c r="AB739" s="30"/>
      <c r="AC739" s="30"/>
      <c r="AD739" s="30"/>
      <c r="AE739" s="30"/>
      <c r="AF739" s="58"/>
      <c r="AG739" s="30"/>
      <c r="AH739" s="30"/>
      <c r="AI739" s="30"/>
      <c r="AJ739" s="504"/>
      <c r="AK739" s="504"/>
      <c r="AL739" s="342"/>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3" hidden="1" customHeight="1" thickBot="1">
      <c r="A740" s="808"/>
      <c r="B740" s="166"/>
      <c r="C740" s="166"/>
      <c r="D740" s="166"/>
      <c r="E740" s="1550" t="str">
        <f>IF(E737="","",IF(T738=TRUE,HYPERLINK("#JUMP_14",EUconst_MsgGoOnPFC),HYPERLINK("#JUMP_E_8",EUconst_FurtherGuidancePoint1)))</f>
        <v/>
      </c>
      <c r="F740" s="1550"/>
      <c r="G740" s="1550"/>
      <c r="H740" s="1550"/>
      <c r="I740" s="1550"/>
      <c r="J740" s="1550"/>
      <c r="K740" s="1550"/>
      <c r="L740" s="1550"/>
      <c r="M740" s="1550"/>
      <c r="N740" s="143"/>
      <c r="O740" s="733"/>
      <c r="P740" s="33"/>
      <c r="Q740" s="352" t="str">
        <f>EUconst_SumNonSustBioCO2 &amp; "_" &amp; K737</f>
        <v>SUM_bioNonSustCO2_</v>
      </c>
      <c r="R740" s="707"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4"/>
      <c r="AK740" s="504"/>
      <c r="AL740" s="342"/>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4.5" hidden="1" customHeight="1">
      <c r="A741" s="808"/>
      <c r="B741" s="166"/>
      <c r="C741" s="166"/>
      <c r="D741" s="166"/>
      <c r="E741" s="166"/>
      <c r="F741" s="166"/>
      <c r="G741" s="166"/>
      <c r="M741" s="143"/>
      <c r="N741" s="143"/>
      <c r="O741" s="733"/>
      <c r="P741" s="23"/>
      <c r="Q741" s="23"/>
      <c r="R741" s="23"/>
      <c r="S741" s="23"/>
      <c r="T741" s="23"/>
      <c r="U741" s="23"/>
      <c r="V741" s="30"/>
      <c r="W741" s="30"/>
      <c r="X741" s="30"/>
      <c r="Y741" s="494"/>
      <c r="Z741" s="30"/>
      <c r="AA741" s="30"/>
      <c r="AB741" s="30"/>
      <c r="AC741" s="30"/>
      <c r="AD741" s="30"/>
      <c r="AE741" s="30"/>
      <c r="AF741" s="58"/>
      <c r="AG741" s="30"/>
      <c r="AH741" s="30"/>
      <c r="AI741" s="30"/>
      <c r="AJ741" s="504"/>
      <c r="AK741" s="504"/>
      <c r="AL741" s="342"/>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hidden="1" customHeight="1" thickBot="1">
      <c r="A742" s="808"/>
      <c r="B742" s="166"/>
      <c r="C742" s="814" t="s">
        <v>4</v>
      </c>
      <c r="D742" s="512" t="str">
        <f>Translations!$B$622</f>
        <v>VD:</v>
      </c>
      <c r="E742" s="1560" t="str">
        <f>Translations!$B$667</f>
        <v>Ar veiklos duomenys gaunami sudedant išmatuotus kiekius (t. y. ne atliekant nuolatinius matavimus)?</v>
      </c>
      <c r="F742" s="1560"/>
      <c r="G742" s="1560"/>
      <c r="H742" s="1560"/>
      <c r="I742" s="1560"/>
      <c r="J742" s="1560"/>
      <c r="K742" s="1560"/>
      <c r="L742" s="1179"/>
      <c r="M742" s="507"/>
      <c r="O742" s="733"/>
      <c r="P742" s="23"/>
      <c r="Q742" s="23"/>
      <c r="R742" s="23"/>
      <c r="S742" s="23"/>
      <c r="T742" s="23"/>
      <c r="U742" s="23"/>
      <c r="V742" s="30"/>
      <c r="W742" s="30"/>
      <c r="X742" s="30"/>
      <c r="Y742" s="494"/>
      <c r="Z742" s="30"/>
      <c r="AA742" s="30"/>
      <c r="AB742" s="30"/>
      <c r="AC742" s="1172" t="b">
        <f>AND(E737&lt;&gt;"",T738&lt;&gt;TRUE)</f>
        <v>0</v>
      </c>
      <c r="AD742" s="30"/>
      <c r="AE742" s="30"/>
      <c r="AF742" s="58"/>
      <c r="AG742" s="30"/>
      <c r="AH742" s="30"/>
      <c r="AI742" s="30"/>
      <c r="AJ742" s="504"/>
      <c r="AK742" s="504"/>
      <c r="AL742" s="342"/>
      <c r="AM742" s="30"/>
      <c r="AN742" s="30"/>
      <c r="AO742" s="30"/>
      <c r="AP742" s="30"/>
      <c r="AQ742" s="30"/>
      <c r="AR742" s="30"/>
      <c r="AS742" s="30"/>
      <c r="AT742" s="1172"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2" t="b">
        <f>OR(CNTR_CalcRelevant=EUconst_NotRelevant,AND(COUNTA(CNTR_ListRelevantSections)&gt;0,OR(T738=TRUE,E737="")))</f>
        <v>1</v>
      </c>
    </row>
    <row r="743" spans="1:78" s="142" customFormat="1" ht="5.0999999999999996" hidden="1" customHeight="1">
      <c r="A743" s="808"/>
      <c r="B743" s="166"/>
      <c r="C743" s="166"/>
      <c r="D743" s="166"/>
      <c r="E743" s="166"/>
      <c r="F743" s="166"/>
      <c r="G743" s="166"/>
      <c r="H743" s="495"/>
      <c r="I743" s="495"/>
      <c r="J743" s="495"/>
      <c r="K743" s="495"/>
      <c r="L743" s="495"/>
      <c r="M743" s="507"/>
      <c r="O743" s="733"/>
      <c r="P743" s="23"/>
      <c r="Q743" s="23"/>
      <c r="R743" s="23"/>
      <c r="S743" s="23"/>
      <c r="T743" s="23"/>
      <c r="U743" s="23"/>
      <c r="V743" s="30"/>
      <c r="W743" s="30"/>
      <c r="X743" s="30"/>
      <c r="Y743" s="494"/>
      <c r="Z743" s="30"/>
      <c r="AA743" s="30"/>
      <c r="AB743" s="30"/>
      <c r="AC743" s="492"/>
      <c r="AD743" s="30"/>
      <c r="AE743" s="30"/>
      <c r="AF743" s="58"/>
      <c r="AG743" s="30"/>
      <c r="AH743" s="30"/>
      <c r="AI743" s="30"/>
      <c r="AJ743" s="504"/>
      <c r="AK743" s="504"/>
      <c r="AL743" s="342"/>
      <c r="AM743" s="30"/>
      <c r="AN743" s="30"/>
      <c r="AO743" s="30"/>
      <c r="AP743" s="30"/>
      <c r="AQ743" s="30"/>
      <c r="AR743" s="30"/>
      <c r="AS743" s="30"/>
      <c r="AT743" s="492"/>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2"/>
    </row>
    <row r="744" spans="1:78" s="142" customFormat="1" ht="12.75" hidden="1" customHeight="1" thickBot="1">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3"/>
      <c r="Q744" s="23"/>
      <c r="R744" s="23"/>
      <c r="S744" s="23"/>
      <c r="T744" s="23"/>
      <c r="U744" s="23"/>
      <c r="V744" s="30"/>
      <c r="W744" s="30"/>
      <c r="X744" s="30"/>
      <c r="Y744" s="494"/>
      <c r="Z744" s="30"/>
      <c r="AA744" s="30"/>
      <c r="AB744" s="30"/>
      <c r="AC744" s="1172" t="b">
        <f>AC742</f>
        <v>0</v>
      </c>
      <c r="AD744" s="30"/>
      <c r="AE744" s="30"/>
      <c r="AF744" s="58"/>
      <c r="AG744" s="30"/>
      <c r="AH744" s="30"/>
      <c r="AI744" s="30"/>
      <c r="AJ744" s="504"/>
      <c r="AK744" s="504"/>
      <c r="AL744" s="342"/>
      <c r="AM744" s="30"/>
      <c r="AN744" s="30"/>
      <c r="AO744" s="30"/>
      <c r="AP744" s="30"/>
      <c r="AQ744" s="30"/>
      <c r="AR744" s="30"/>
      <c r="AS744" s="30"/>
      <c r="AT744" s="1172"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2" t="b">
        <f>OR(BZ742,AND(NOT(ISBLANK(L742)),L742=FALSE))</f>
        <v>1</v>
      </c>
    </row>
    <row r="745" spans="1:78" s="142" customFormat="1" ht="5.0999999999999996" hidden="1" customHeight="1">
      <c r="A745" s="808"/>
      <c r="B745" s="166"/>
      <c r="C745" s="166"/>
      <c r="D745" s="166"/>
      <c r="E745" s="166"/>
      <c r="F745" s="166"/>
      <c r="G745" s="166"/>
      <c r="M745" s="143"/>
      <c r="N745" s="143"/>
      <c r="O745" s="733"/>
      <c r="P745" s="23"/>
      <c r="Q745" s="23"/>
      <c r="R745" s="23"/>
      <c r="S745" s="23"/>
      <c r="T745" s="23"/>
      <c r="U745" s="23"/>
      <c r="V745" s="30"/>
      <c r="W745" s="30"/>
      <c r="X745" s="30"/>
      <c r="Y745" s="494"/>
      <c r="Z745" s="30"/>
      <c r="AA745" s="30"/>
      <c r="AB745" s="30"/>
      <c r="AC745" s="30"/>
      <c r="AD745" s="30"/>
      <c r="AE745" s="30"/>
      <c r="AF745" s="58"/>
      <c r="AG745" s="30"/>
      <c r="AH745" s="30"/>
      <c r="AI745" s="30"/>
      <c r="AJ745" s="504"/>
      <c r="AK745" s="504"/>
      <c r="AL745" s="342"/>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hidden="1" customHeight="1" thickBot="1">
      <c r="A746" s="808"/>
      <c r="B746" s="166"/>
      <c r="C746" s="166"/>
      <c r="D746" s="166"/>
      <c r="E746" s="166"/>
      <c r="F746" s="506" t="str">
        <f>Translations!$B$333</f>
        <v>Pakopa</v>
      </c>
      <c r="G746" s="1557" t="str">
        <f>Translations!$B$672</f>
        <v>pakopos aprašas</v>
      </c>
      <c r="H746" s="1557"/>
      <c r="I746" s="1555" t="str">
        <f>Translations!$B$158</f>
        <v>Vienetas</v>
      </c>
      <c r="J746" s="1555"/>
      <c r="K746" s="1555" t="str">
        <f>Translations!$B$673</f>
        <v>Vertė</v>
      </c>
      <c r="L746" s="1555"/>
      <c r="M746" s="507" t="str">
        <f>Translations!$B$610</f>
        <v>klaida</v>
      </c>
      <c r="O746" s="733"/>
      <c r="P746" s="508"/>
      <c r="Q746" s="352" t="str">
        <f>EUconst_SumEnergyIN &amp; "_" &amp; K737</f>
        <v>SUM_EnergyIN_</v>
      </c>
      <c r="R746" s="399" t="str">
        <f>IF(OR(K737="",T738)=TRUE,"",INDEX(BC752:BE752,MATCH(K737,BC747:BE747,0)))</f>
        <v/>
      </c>
      <c r="S746" s="30"/>
      <c r="T746" s="489"/>
      <c r="U746" s="30"/>
      <c r="V746" s="509" t="s">
        <v>303</v>
      </c>
      <c r="W746" s="30"/>
      <c r="X746" s="30"/>
      <c r="Y746" s="494" t="s">
        <v>566</v>
      </c>
      <c r="Z746" s="494" t="s">
        <v>318</v>
      </c>
      <c r="AA746" s="30"/>
      <c r="AB746" s="30"/>
      <c r="AC746" s="505" t="s">
        <v>309</v>
      </c>
      <c r="AD746" s="30"/>
      <c r="AE746" s="30"/>
      <c r="AF746" s="492" t="s">
        <v>305</v>
      </c>
      <c r="AG746" s="492" t="s">
        <v>306</v>
      </c>
      <c r="AH746" s="494" t="s">
        <v>304</v>
      </c>
      <c r="AI746" s="504" t="s">
        <v>307</v>
      </c>
      <c r="AJ746" s="504" t="s">
        <v>567</v>
      </c>
      <c r="AK746" s="510" t="s">
        <v>311</v>
      </c>
      <c r="AL746" s="342"/>
      <c r="AM746" s="30"/>
      <c r="AN746" s="492" t="s">
        <v>305</v>
      </c>
      <c r="AO746" s="492" t="s">
        <v>306</v>
      </c>
      <c r="AP746" s="511" t="s">
        <v>310</v>
      </c>
      <c r="AQ746" s="504" t="s">
        <v>569</v>
      </c>
      <c r="AR746" s="504" t="s">
        <v>568</v>
      </c>
      <c r="AS746" s="510" t="s">
        <v>609</v>
      </c>
      <c r="AT746" s="510" t="s">
        <v>609</v>
      </c>
      <c r="AU746" s="30"/>
      <c r="AV746" s="492"/>
      <c r="AW746" s="492"/>
      <c r="AX746" s="492" t="s">
        <v>321</v>
      </c>
      <c r="AY746" s="492"/>
      <c r="AZ746" s="492"/>
      <c r="BA746" s="492"/>
      <c r="BB746" s="492"/>
      <c r="BC746" s="492"/>
      <c r="BD746" s="492"/>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3" t="s">
        <v>262</v>
      </c>
    </row>
    <row r="747" spans="1:78" s="142" customFormat="1" ht="12.75" hidden="1" customHeight="1" thickBot="1">
      <c r="A747" s="808"/>
      <c r="B747" s="166"/>
      <c r="C747" s="777" t="s">
        <v>196</v>
      </c>
      <c r="D747" s="512" t="str">
        <f>Translations!$B$622</f>
        <v>VD:</v>
      </c>
      <c r="E747" s="513"/>
      <c r="F747" s="402"/>
      <c r="G747" s="1532" t="str">
        <f>IF(OR(ISBLANK(F747),F747=EUconst_NoTier),"",IF(Z747=0,EUconst_NA,IF(ISERROR(Z747),"",Z747)))</f>
        <v/>
      </c>
      <c r="H747" s="1533"/>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0"/>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0"/>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0"/>
      <c r="AV747" s="492" t="s">
        <v>314</v>
      </c>
      <c r="AW747" s="492" t="s">
        <v>319</v>
      </c>
      <c r="AX747" s="524"/>
      <c r="AY747" s="30" t="s">
        <v>542</v>
      </c>
      <c r="AZ747" s="30"/>
      <c r="BA747" s="30"/>
      <c r="BB747" s="504"/>
      <c r="BC747" s="493" t="str">
        <f>EUconst_Fuel</f>
        <v>Degimas</v>
      </c>
      <c r="BD747" s="493" t="str">
        <f>EUconst_ProcessCarbonate</f>
        <v>Proceso metu išsiskiriančios ŠESD</v>
      </c>
      <c r="BE747" s="493"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4" t="b">
        <f>BZ742</f>
        <v>1</v>
      </c>
    </row>
    <row r="748" spans="1:78" s="142" customFormat="1" ht="4.5" hidden="1" customHeight="1">
      <c r="A748" s="808"/>
      <c r="B748" s="166"/>
      <c r="C748" s="814"/>
      <c r="D748" s="306"/>
      <c r="F748" s="143"/>
      <c r="G748" s="143"/>
      <c r="H748" s="143" t="s">
        <v>236</v>
      </c>
      <c r="I748" s="525"/>
      <c r="J748" s="525"/>
      <c r="K748" s="143"/>
      <c r="L748" s="143"/>
      <c r="M748" s="710"/>
      <c r="O748" s="733"/>
      <c r="P748" s="33"/>
      <c r="Q748" s="33"/>
      <c r="R748" s="33"/>
      <c r="S748" s="30"/>
      <c r="T748" s="155"/>
      <c r="U748" s="497"/>
      <c r="V748" s="30"/>
      <c r="W748" s="30"/>
      <c r="X748" s="497"/>
      <c r="Y748" s="526"/>
      <c r="Z748" s="30"/>
      <c r="AA748" s="30"/>
      <c r="AB748" s="30"/>
      <c r="AC748" s="30"/>
      <c r="AD748" s="30"/>
      <c r="AE748" s="30"/>
      <c r="AF748" s="30"/>
      <c r="AG748" s="30"/>
      <c r="AH748" s="30"/>
      <c r="AI748" s="30"/>
      <c r="AJ748" s="30"/>
      <c r="AK748" s="30"/>
      <c r="AL748" s="342"/>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3"/>
    </row>
    <row r="749" spans="1:78" s="142" customFormat="1" ht="12.75" hidden="1" customHeight="1" thickBot="1">
      <c r="A749" s="808"/>
      <c r="B749" s="166"/>
      <c r="C749" s="814" t="s">
        <v>197</v>
      </c>
      <c r="D749" s="512" t="str">
        <f>Translations!$B$634</f>
        <v>(prelim.) ITF:</v>
      </c>
      <c r="E749" s="513"/>
      <c r="F749" s="527"/>
      <c r="G749" s="1532" t="str">
        <f t="shared" ref="G749:G755" si="175">IF(OR(ISBLANK(F749),F749=EUconst_NoTier),"",IF(Z749=0,EUconst_NotApplicable,IF(ISERROR(Z749),"",Z749)))</f>
        <v/>
      </c>
      <c r="H749" s="1556"/>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3"/>
      <c r="Q749" s="33"/>
      <c r="R749" s="33"/>
      <c r="S749" s="30"/>
      <c r="T749" s="530" t="str">
        <f>EUconst_CNTR_EF&amp;E738</f>
        <v>EF_</v>
      </c>
      <c r="U749" s="497"/>
      <c r="V749" s="531" t="str">
        <f>V747</f>
        <v/>
      </c>
      <c r="W749" s="30"/>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0"/>
      <c r="AC749" s="535" t="b">
        <f>AND(AC747,Y749&lt;&gt;EUconst_NA)</f>
        <v>0</v>
      </c>
      <c r="AD749" s="30"/>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0"/>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0"/>
      <c r="BA749" s="30"/>
      <c r="BB749" s="547" t="s">
        <v>594</v>
      </c>
      <c r="BC749" s="546" t="str">
        <f>IF(K737=BC747,AR747*IF(AJ749=EUconst_tCO2pTJ,(AR750/1000),1)*AR749*AR751*AR755,"")</f>
        <v/>
      </c>
      <c r="BD749" s="524" t="str">
        <f>IF(K737=BD747,AR747*AR749*AR752*AR755,"")</f>
        <v/>
      </c>
      <c r="BE749" s="523"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1" t="b">
        <f>OR(BZ747,Y749=EUconst_NA)</f>
        <v>1</v>
      </c>
    </row>
    <row r="750" spans="1:78" s="142" customFormat="1" ht="12.75" hidden="1" customHeight="1" thickBot="1">
      <c r="A750" s="808"/>
      <c r="B750" s="166"/>
      <c r="C750" s="814" t="s">
        <v>198</v>
      </c>
      <c r="D750" s="512" t="str">
        <f>Translations!$B$636</f>
        <v>GŠV:</v>
      </c>
      <c r="E750" s="513"/>
      <c r="F750" s="548"/>
      <c r="G750" s="1532" t="str">
        <f t="shared" si="175"/>
        <v/>
      </c>
      <c r="H750" s="1533"/>
      <c r="I750" s="1169" t="str">
        <f>AJ750</f>
        <v/>
      </c>
      <c r="J750" s="549"/>
      <c r="K750" s="550" t="str">
        <f t="shared" si="176"/>
        <v/>
      </c>
      <c r="L750" s="551"/>
      <c r="M750" s="709" t="str">
        <f>IF(AND(E738&lt;&gt;"",OR(F750="",COUNT(K750:L750)=0),Y750&lt;&gt;EUconst_NA,T738&lt;&gt;TRUE),EUconst_ERR_Incomplete,IF(COUNTIF(AX750:AZ750,TRUE)&gt;0,EUconst_ERR_Inconsistent,""))</f>
        <v/>
      </c>
      <c r="O750" s="733"/>
      <c r="P750" s="33"/>
      <c r="Q750" s="33"/>
      <c r="R750" s="33"/>
      <c r="S750" s="30"/>
      <c r="T750" s="552" t="str">
        <f>EUconst_CNTR_NCV&amp;E738</f>
        <v>NCV_</v>
      </c>
      <c r="U750" s="497"/>
      <c r="V750" s="553" t="str">
        <f t="shared" ref="V750:V755" si="181">V749</f>
        <v/>
      </c>
      <c r="W750" s="30"/>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0"/>
      <c r="AC750" s="557" t="b">
        <f>AND(AC747,Y750&lt;&gt;EUconst_NA)</f>
        <v>0</v>
      </c>
      <c r="AD750" s="30"/>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0"/>
      <c r="AV750" s="567" t="b">
        <f t="shared" si="178"/>
        <v>0</v>
      </c>
      <c r="AW750" s="568" t="b">
        <f t="shared" si="179"/>
        <v>0</v>
      </c>
      <c r="AX750" s="30"/>
      <c r="AY750" s="553" t="b">
        <f t="shared" si="180"/>
        <v>0</v>
      </c>
      <c r="AZ750" s="30"/>
      <c r="BA750" s="30"/>
      <c r="BB750" s="547" t="s">
        <v>595</v>
      </c>
      <c r="BC750" s="546" t="str">
        <f>IF(K737=BC747,AR747*IF(AJ749=EUconst_tCO2pTJ,(AR750/1000),1)*AR749*AR751*AR754,"")</f>
        <v/>
      </c>
      <c r="BD750" s="524" t="str">
        <f>IF(K737=BD747,AR747*AR749*AR752*AR754,"")</f>
        <v/>
      </c>
      <c r="BE750" s="523"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3" t="b">
        <f>OR(BZ747,Y750=EUconst_NA)</f>
        <v>1</v>
      </c>
    </row>
    <row r="751" spans="1:78" s="142" customFormat="1" ht="12.75" hidden="1" customHeight="1" thickBot="1">
      <c r="A751" s="808"/>
      <c r="B751" s="166"/>
      <c r="C751" s="814" t="s">
        <v>199</v>
      </c>
      <c r="D751" s="512" t="str">
        <f>Translations!$B$638</f>
        <v>OksK:</v>
      </c>
      <c r="E751" s="513"/>
      <c r="F751" s="548"/>
      <c r="G751" s="1532" t="str">
        <f t="shared" si="175"/>
        <v/>
      </c>
      <c r="H751" s="1533"/>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3"/>
      <c r="Q751" s="33"/>
      <c r="R751" s="33"/>
      <c r="S751" s="30"/>
      <c r="T751" s="552" t="str">
        <f>EUconst_CNTR_OxidationFactor&amp;E738</f>
        <v>OxF_</v>
      </c>
      <c r="U751" s="497"/>
      <c r="V751" s="553" t="str">
        <f t="shared" si="181"/>
        <v/>
      </c>
      <c r="W751" s="30"/>
      <c r="X751" s="497"/>
      <c r="Y751" s="554" t="str">
        <f>IF(OR(T738=TRUE,E738=""),"",INDEX(EUwideConstants!$N:$N,MATCH(T751,EUwideConstants!$Q:$Q,0)))</f>
        <v/>
      </c>
      <c r="Z751" s="555" t="str">
        <f>IF(ISBLANK(F751),"",IF(F751=EUconst_NA,"",INDEX(EUwideConstants!$H:$M,MATCH(T751,EUwideConstants!$Q:$Q,0),MATCH(F751,CNTR_TierList,0))))</f>
        <v/>
      </c>
      <c r="AA751" s="534" t="str">
        <f>IF(F751=1,1,"")</f>
        <v/>
      </c>
      <c r="AB751" s="30"/>
      <c r="AC751" s="557" t="b">
        <f>AND(AC747,Y751&lt;&gt;EUconst_NA)</f>
        <v>0</v>
      </c>
      <c r="AD751" s="30"/>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0"/>
      <c r="AV751" s="567" t="b">
        <f t="shared" si="178"/>
        <v>0</v>
      </c>
      <c r="AW751" s="568" t="b">
        <f t="shared" si="179"/>
        <v>0</v>
      </c>
      <c r="AX751" s="30"/>
      <c r="AY751" s="594" t="b">
        <f t="shared" si="180"/>
        <v>0</v>
      </c>
      <c r="AZ751" s="531" t="b">
        <f>AR751&gt;100%</f>
        <v>0</v>
      </c>
      <c r="BA751" s="30"/>
      <c r="BB751" s="547" t="s">
        <v>290</v>
      </c>
      <c r="BC751" s="546" t="str">
        <f>IF(K737=BC747,AR747*IF(AJ749=EUconst_tCO2pTJ,(AR750/1000),1)*AR749*AR751*(1-AR754),"")</f>
        <v/>
      </c>
      <c r="BD751" s="524" t="str">
        <f>IF(K737=BD747,AR747*AR749*AR752*(1-AR754),"")</f>
        <v/>
      </c>
      <c r="BE751" s="523"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3" t="b">
        <f>OR(BZ747,Y751=EUconst_NA)</f>
        <v>1</v>
      </c>
    </row>
    <row r="752" spans="1:78" s="142" customFormat="1" ht="12.75" hidden="1" customHeight="1" thickBot="1">
      <c r="A752" s="808"/>
      <c r="B752" s="166"/>
      <c r="C752" s="814" t="s">
        <v>200</v>
      </c>
      <c r="D752" s="512" t="str">
        <f>Translations!$B$639</f>
        <v>KonvK:</v>
      </c>
      <c r="E752" s="513"/>
      <c r="F752" s="548"/>
      <c r="G752" s="1532" t="str">
        <f t="shared" si="175"/>
        <v/>
      </c>
      <c r="H752" s="1533"/>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3"/>
      <c r="Q752" s="33"/>
      <c r="R752" s="33"/>
      <c r="S752" s="30"/>
      <c r="T752" s="552" t="str">
        <f>EUconst_CNTR_ConversionFactor&amp;E738</f>
        <v>ConvF_</v>
      </c>
      <c r="U752" s="497"/>
      <c r="V752" s="553" t="str">
        <f t="shared" si="181"/>
        <v/>
      </c>
      <c r="W752" s="30"/>
      <c r="X752" s="497"/>
      <c r="Y752" s="554" t="str">
        <f>IF(OR(T738=TRUE,E738=""),"",INDEX(EUwideConstants!$N:$N,MATCH(T752,EUwideConstants!$Q:$Q,0)))</f>
        <v/>
      </c>
      <c r="Z752" s="555" t="str">
        <f>IF(ISBLANK(F752),"",IF(F752=EUconst_NA,"",INDEX(EUwideConstants!$H:$M,MATCH(T752,EUwideConstants!$Q:$Q,0),MATCH(F752,CNTR_TierList,0))))</f>
        <v/>
      </c>
      <c r="AA752" s="582" t="str">
        <f>IF(F752=1,1,"")</f>
        <v/>
      </c>
      <c r="AB752" s="30"/>
      <c r="AC752" s="557" t="b">
        <f>AND(AC747,Y752&lt;&gt;EUconst_NA)</f>
        <v>0</v>
      </c>
      <c r="AD752" s="30"/>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0"/>
      <c r="AV752" s="567" t="b">
        <f t="shared" si="178"/>
        <v>0</v>
      </c>
      <c r="AW752" s="568" t="b">
        <f t="shared" si="179"/>
        <v>0</v>
      </c>
      <c r="AX752" s="30"/>
      <c r="AY752" s="594" t="b">
        <f t="shared" si="180"/>
        <v>0</v>
      </c>
      <c r="AZ752" s="580" t="b">
        <f>AR752&gt;100%</f>
        <v>0</v>
      </c>
      <c r="BA752" s="30"/>
      <c r="BB752" s="578" t="s">
        <v>487</v>
      </c>
      <c r="BC752" s="579">
        <f>AR747*AR750/1000*(1-AR754)</f>
        <v>0</v>
      </c>
      <c r="BD752" s="580">
        <f>BC752</f>
        <v>0</v>
      </c>
      <c r="BE752" s="581">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3" t="b">
        <f>OR(BZ747,Y752=EUconst_NA)</f>
        <v>1</v>
      </c>
    </row>
    <row r="753" spans="1:78" s="142" customFormat="1" ht="12.75" hidden="1" customHeight="1" thickBot="1">
      <c r="A753" s="808"/>
      <c r="B753" s="166"/>
      <c r="C753" s="814" t="s">
        <v>329</v>
      </c>
      <c r="D753" s="512" t="str">
        <f>Translations!$B$640</f>
        <v>AnglK:</v>
      </c>
      <c r="E753" s="513"/>
      <c r="F753" s="548"/>
      <c r="G753" s="1532" t="str">
        <f t="shared" si="175"/>
        <v/>
      </c>
      <c r="H753" s="1533"/>
      <c r="I753" s="1170" t="str">
        <f>AJ753</f>
        <v/>
      </c>
      <c r="J753" s="586"/>
      <c r="K753" s="587" t="str">
        <f t="shared" si="176"/>
        <v/>
      </c>
      <c r="L753" s="588"/>
      <c r="M753" s="709" t="str">
        <f>IF(AND(E738&lt;&gt;"",OR(F753="",COUNT(K753:L753)=0),Y753&lt;&gt;EUconst_NA,T738&lt;&gt;TRUE),EUconst_ERR_Incomplete,IF(COUNTIF(AX753:AZ753,TRUE)&gt;0,EUconst_ERR_Inconsistent,""))</f>
        <v/>
      </c>
      <c r="O753" s="733"/>
      <c r="P753" s="33"/>
      <c r="Q753" s="33"/>
      <c r="R753" s="33"/>
      <c r="S753" s="30"/>
      <c r="T753" s="552" t="str">
        <f>EUconst_CNTR_CarbonContent&amp;E738</f>
        <v>CarbC_</v>
      </c>
      <c r="U753" s="497"/>
      <c r="V753" s="553" t="str">
        <f t="shared" si="181"/>
        <v/>
      </c>
      <c r="W753" s="30"/>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0"/>
      <c r="AC753" s="557" t="b">
        <f>AND(AC747,Y753&lt;&gt;EUconst_NA)</f>
        <v>0</v>
      </c>
      <c r="AD753" s="30"/>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0"/>
      <c r="AV753" s="567" t="b">
        <f t="shared" si="178"/>
        <v>0</v>
      </c>
      <c r="AW753" s="568" t="b">
        <f t="shared" si="179"/>
        <v>0</v>
      </c>
      <c r="AX753" s="546" t="b">
        <f>OR(AND(AJ747=EUconst_kNm3,AJ753=EUconst_tCpt),AND(AJ747=EUconst_t,AJ753=EUconst_tCpkNm3))</f>
        <v>0</v>
      </c>
      <c r="AY753" s="553" t="b">
        <f t="shared" si="180"/>
        <v>0</v>
      </c>
      <c r="AZ753" s="30"/>
      <c r="BA753" s="30"/>
      <c r="BB753" s="578" t="s">
        <v>488</v>
      </c>
      <c r="BC753" s="579">
        <f>AR747*AR750/1000*AR754</f>
        <v>0</v>
      </c>
      <c r="BD753" s="580">
        <f>BC753</f>
        <v>0</v>
      </c>
      <c r="BE753" s="581">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3" t="b">
        <f>OR(BZ747,Y753=EUconst_NA)</f>
        <v>1</v>
      </c>
    </row>
    <row r="754" spans="1:78" s="142" customFormat="1" ht="12.75" hidden="1" customHeight="1">
      <c r="A754" s="808"/>
      <c r="B754" s="166"/>
      <c r="C754" s="777" t="s">
        <v>330</v>
      </c>
      <c r="D754" s="512" t="str">
        <f>Translations!$B$641</f>
        <v>BioC:</v>
      </c>
      <c r="E754" s="513"/>
      <c r="F754" s="548"/>
      <c r="G754" s="1532" t="str">
        <f t="shared" si="175"/>
        <v/>
      </c>
      <c r="H754" s="1533"/>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0"/>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0"/>
      <c r="AC754" s="557" t="b">
        <f>AND(AC747,Y754&lt;&gt;EUconst_NA)</f>
        <v>0</v>
      </c>
      <c r="AD754" s="30"/>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0"/>
      <c r="AV754" s="567" t="b">
        <f t="shared" si="178"/>
        <v>0</v>
      </c>
      <c r="AW754" s="568" t="b">
        <f t="shared" si="179"/>
        <v>0</v>
      </c>
      <c r="AX754" s="30"/>
      <c r="AY754" s="594" t="b">
        <f t="shared" si="180"/>
        <v>0</v>
      </c>
      <c r="AZ754" s="531"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3" t="b">
        <f>OR(BZ747,Y754=EUconst_NA)</f>
        <v>1</v>
      </c>
    </row>
    <row r="755" spans="1:78" s="142" customFormat="1" ht="12.75" hidden="1" customHeight="1" thickBot="1">
      <c r="A755" s="808"/>
      <c r="B755" s="166"/>
      <c r="C755" s="777" t="s">
        <v>454</v>
      </c>
      <c r="D755" s="512" t="str">
        <f>Translations!$B$647</f>
        <v>Netvar. BioC:</v>
      </c>
      <c r="E755" s="513"/>
      <c r="F755" s="597"/>
      <c r="G755" s="1532" t="str">
        <f t="shared" si="175"/>
        <v/>
      </c>
      <c r="H755" s="1533"/>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0"/>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0"/>
      <c r="AC755" s="603" t="b">
        <f>AND(AC747,Y755&lt;&gt;EUconst_NA)</f>
        <v>0</v>
      </c>
      <c r="AD755" s="30"/>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0"/>
      <c r="AV755" s="613" t="b">
        <f t="shared" si="178"/>
        <v>0</v>
      </c>
      <c r="AW755" s="614" t="b">
        <f t="shared" si="179"/>
        <v>0</v>
      </c>
      <c r="AX755" s="30"/>
      <c r="AY755" s="579" t="b">
        <f t="shared" si="180"/>
        <v>0</v>
      </c>
      <c r="AZ755" s="580"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80" t="b">
        <f>OR(BZ747,Y755=EUconst_NA)</f>
        <v>1</v>
      </c>
    </row>
    <row r="756" spans="1:78" s="142" customFormat="1" ht="4.5" hidden="1" customHeight="1">
      <c r="A756" s="808"/>
      <c r="B756" s="166"/>
      <c r="C756" s="166"/>
      <c r="D756" s="180"/>
      <c r="O756" s="733"/>
      <c r="P756" s="33"/>
      <c r="Q756" s="33"/>
      <c r="R756" s="33"/>
      <c r="S756" s="174"/>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hidden="1" customHeight="1">
      <c r="A757" s="808"/>
      <c r="B757" s="166"/>
      <c r="C757" s="166"/>
      <c r="D757" s="1558" t="str">
        <f>Translations!$B$674</f>
        <v>Pakopos galioja nuo:</v>
      </c>
      <c r="E757" s="1558"/>
      <c r="F757" s="1559"/>
      <c r="G757" s="1052"/>
      <c r="H757" s="615" t="str">
        <f>Translations!$B$675</f>
        <v>iki:</v>
      </c>
      <c r="I757" s="1052"/>
      <c r="J757" s="1536" t="str">
        <f>Translations!$B$676</f>
        <v>Atliekų katalogo numeris (jeigu taikytina):</v>
      </c>
      <c r="K757" s="1537"/>
      <c r="L757" s="1537"/>
      <c r="M757" s="1538"/>
      <c r="N757" s="1289"/>
      <c r="O757" s="733"/>
      <c r="P757" s="33"/>
      <c r="Q757" s="33"/>
      <c r="R757" s="33"/>
      <c r="S757" s="1290"/>
      <c r="T757" s="492"/>
      <c r="U757" s="492"/>
      <c r="V757" s="48" t="b">
        <f>IF(V747="",FALSE,INDEX(CNTR_IsWaste,MATCH(V747,MSParameters!$A$218:$A$376,0)))</f>
        <v>0</v>
      </c>
      <c r="W757" s="1290"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hidden="1" customHeight="1">
      <c r="A758" s="808"/>
      <c r="B758" s="166"/>
      <c r="C758" s="166"/>
      <c r="D758" s="615"/>
      <c r="E758" s="495"/>
      <c r="F758" s="495"/>
      <c r="G758" s="495"/>
      <c r="H758" s="495"/>
      <c r="I758" s="495"/>
      <c r="J758" s="495"/>
      <c r="K758" s="495"/>
      <c r="L758" s="495"/>
      <c r="M758" s="495"/>
      <c r="N758" s="495"/>
      <c r="O758" s="733"/>
      <c r="P758" s="33"/>
      <c r="Q758" s="33"/>
      <c r="R758" s="33"/>
      <c r="S758" s="174"/>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hidden="1" customHeight="1">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3"/>
      <c r="Q759" s="33"/>
      <c r="R759" s="33"/>
      <c r="S759" s="174"/>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hidden="1" customHeight="1">
      <c r="A760" s="815"/>
      <c r="D760" s="180"/>
      <c r="O760" s="573"/>
      <c r="P760" s="497"/>
      <c r="Q760" s="497"/>
      <c r="R760" s="497"/>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hidden="1">
      <c r="A761" s="815"/>
      <c r="D761" s="1534" t="str">
        <f>Translations!$B$160</f>
        <v>Pastabos:</v>
      </c>
      <c r="E761" s="1535"/>
      <c r="F761" s="1539"/>
      <c r="G761" s="1540"/>
      <c r="H761" s="1540"/>
      <c r="I761" s="1540"/>
      <c r="J761" s="1540"/>
      <c r="K761" s="1540"/>
      <c r="L761" s="1540"/>
      <c r="M761" s="1540"/>
      <c r="N761" s="1541"/>
      <c r="O761" s="573"/>
      <c r="P761" s="497"/>
      <c r="Q761" s="497"/>
      <c r="R761" s="497"/>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c r="A762" s="808"/>
      <c r="B762" s="495"/>
      <c r="C762" s="499"/>
      <c r="D762" s="500"/>
      <c r="E762" s="501"/>
      <c r="F762" s="499"/>
      <c r="G762" s="502"/>
      <c r="H762" s="502"/>
      <c r="I762" s="502"/>
      <c r="J762" s="502"/>
      <c r="K762" s="502"/>
      <c r="L762" s="502"/>
      <c r="M762" s="502"/>
      <c r="N762" s="502"/>
      <c r="O762" s="740"/>
      <c r="P762" s="494"/>
      <c r="Q762" s="494"/>
      <c r="R762" s="494"/>
      <c r="S762" s="58"/>
      <c r="T762" s="58"/>
      <c r="U762" s="498"/>
      <c r="V762" s="58"/>
      <c r="W762" s="58"/>
      <c r="X762" s="49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c r="A763" s="813"/>
      <c r="B763" s="495"/>
      <c r="C763" s="495"/>
      <c r="D763" s="180"/>
      <c r="E763" s="496"/>
      <c r="F763" s="495"/>
      <c r="G763" s="487"/>
      <c r="H763" s="487"/>
      <c r="I763" s="487"/>
      <c r="J763" s="487"/>
      <c r="K763" s="495"/>
      <c r="L763" s="487"/>
      <c r="M763" s="487"/>
      <c r="N763" s="487"/>
      <c r="O763" s="740"/>
      <c r="P763" s="494"/>
      <c r="Q763" s="494"/>
      <c r="R763" s="494"/>
      <c r="S763" s="23"/>
      <c r="T763" s="27" t="str">
        <f>IF(ISBLANK(E764),"",MATCH(E764,CNTR_SourceStreamNames,0))</f>
        <v/>
      </c>
      <c r="U763" s="618"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1"/>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3" t="s">
        <v>262</v>
      </c>
    </row>
    <row r="764" spans="1:78" s="142" customFormat="1" ht="15" hidden="1" customHeight="1" thickBot="1">
      <c r="A764" s="869" t="str">
        <f>IF(E764="","","PRINT")</f>
        <v/>
      </c>
      <c r="B764" s="166"/>
      <c r="C764" s="617">
        <f>C737+1</f>
        <v>27</v>
      </c>
      <c r="D764" s="166"/>
      <c r="E764" s="1542"/>
      <c r="F764" s="1543"/>
      <c r="G764" s="1543"/>
      <c r="H764" s="1543"/>
      <c r="I764" s="1543"/>
      <c r="J764" s="1544"/>
      <c r="K764" s="1545" t="str">
        <f>IF(E765="","",INDEX(EUwideConstants!$F$353:$F$394,MATCH(E765,EUConst_TierActivityListNames,0)))</f>
        <v/>
      </c>
      <c r="L764" s="1546"/>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3"/>
      <c r="T764" s="509" t="s">
        <v>393</v>
      </c>
      <c r="U764" s="23"/>
      <c r="V764" s="78"/>
      <c r="W764" s="56"/>
      <c r="X764" s="58"/>
      <c r="Y764" s="58"/>
      <c r="Z764" s="58"/>
      <c r="AA764" s="58"/>
      <c r="AB764" s="58"/>
      <c r="AC764" s="58"/>
      <c r="AD764" s="58"/>
      <c r="AE764" s="58"/>
      <c r="AF764" s="58"/>
      <c r="AG764" s="58"/>
      <c r="AH764" s="58"/>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6"/>
      <c r="BZ764" s="619" t="b">
        <f>CNTR_CalcRelevant=EUconst_NotRelevant</f>
        <v>0</v>
      </c>
    </row>
    <row r="765" spans="1:78" s="142" customFormat="1" ht="15" hidden="1" customHeight="1" thickBot="1">
      <c r="A765" s="808"/>
      <c r="B765" s="166"/>
      <c r="C765" s="166"/>
      <c r="D765" s="166"/>
      <c r="E765" s="1547" t="str">
        <f>IF(ISBLANK(E764),"",IF(INDEX(B_InstallationDescription!$E$71:$E$145,MATCH(U763,B_InstallationDescription!$D$71:$D$145,0))&gt;0,INDEX(B_InstallationDescription!$E$71:$E$145,MATCH(U763,B_InstallationDescription!$D$71:$D$145,0)),""))</f>
        <v/>
      </c>
      <c r="F765" s="1548"/>
      <c r="G765" s="1548"/>
      <c r="H765" s="1548"/>
      <c r="I765" s="1548"/>
      <c r="J765" s="1549"/>
      <c r="M765" s="346" t="str">
        <f>Translations!$B$666</f>
        <v>CO2, biomasės kilmės.:</v>
      </c>
      <c r="N765" s="1051" t="str">
        <f>IF(OR(K764="",T765=TRUE),"",INDEX(BC777:BE777,MATCH(K764,BC774:BE774,0)))</f>
        <v/>
      </c>
      <c r="O765" s="742" t="s">
        <v>260</v>
      </c>
      <c r="P765" s="494"/>
      <c r="Q765" s="352" t="str">
        <f>EUconst_SumBioCO2 &amp; "_" &amp; K764</f>
        <v>SUM_bioCO2_</v>
      </c>
      <c r="R765" s="494"/>
      <c r="S765" s="23"/>
      <c r="T765" s="48" t="str">
        <f>IF(E765="","",MATCH(E765,EUConst_TierActivityListNames,0)&gt;40)</f>
        <v/>
      </c>
      <c r="U765" s="23"/>
      <c r="V765" s="78"/>
      <c r="W765" s="56"/>
      <c r="X765" s="58"/>
      <c r="Y765" s="27" t="s">
        <v>93</v>
      </c>
      <c r="Z765" s="30"/>
      <c r="AA765" s="30"/>
      <c r="AB765" s="30"/>
      <c r="AC765" s="30"/>
      <c r="AD765" s="30"/>
      <c r="AE765" s="27" t="s">
        <v>302</v>
      </c>
      <c r="AF765" s="58"/>
      <c r="AG765" s="504"/>
      <c r="AH765" s="30"/>
      <c r="AI765" s="30"/>
      <c r="AJ765" s="504"/>
      <c r="AK765" s="504"/>
      <c r="AL765" s="342"/>
      <c r="AM765" s="27" t="s">
        <v>308</v>
      </c>
      <c r="AN765" s="505"/>
      <c r="AO765" s="505"/>
      <c r="AP765" s="30"/>
      <c r="AQ765" s="30"/>
      <c r="AR765" s="30"/>
      <c r="AS765" s="30"/>
      <c r="AT765" s="30"/>
      <c r="AU765" s="30"/>
      <c r="AV765" s="27" t="s">
        <v>315</v>
      </c>
      <c r="AW765" s="30"/>
      <c r="AX765" s="492"/>
      <c r="AY765" s="30"/>
      <c r="AZ765" s="30"/>
      <c r="BA765" s="30"/>
      <c r="BB765" s="27" t="s">
        <v>219</v>
      </c>
      <c r="BC765" s="30"/>
      <c r="BD765" s="30"/>
      <c r="BE765" s="30"/>
      <c r="BF765" s="30"/>
      <c r="BG765" s="27"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0"/>
      <c r="BZ765" s="30"/>
    </row>
    <row r="766" spans="1:78" s="142" customFormat="1" ht="4.5" hidden="1" customHeight="1">
      <c r="A766" s="808"/>
      <c r="B766" s="166"/>
      <c r="C766" s="166"/>
      <c r="D766" s="166"/>
      <c r="E766" s="166"/>
      <c r="F766" s="166"/>
      <c r="G766" s="166"/>
      <c r="M766" s="143"/>
      <c r="N766" s="143"/>
      <c r="O766" s="733"/>
      <c r="P766" s="33"/>
      <c r="Q766" s="33"/>
      <c r="R766" s="33"/>
      <c r="S766" s="23"/>
      <c r="T766" s="23"/>
      <c r="U766" s="23"/>
      <c r="V766" s="78"/>
      <c r="W766" s="30"/>
      <c r="X766" s="30"/>
      <c r="Y766" s="494"/>
      <c r="Z766" s="30"/>
      <c r="AA766" s="30"/>
      <c r="AB766" s="30"/>
      <c r="AC766" s="30"/>
      <c r="AD766" s="30"/>
      <c r="AE766" s="30"/>
      <c r="AF766" s="58"/>
      <c r="AG766" s="30"/>
      <c r="AH766" s="30"/>
      <c r="AI766" s="30"/>
      <c r="AJ766" s="504"/>
      <c r="AK766" s="504"/>
      <c r="AL766" s="342"/>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hidden="1" customHeight="1" thickBot="1">
      <c r="A767" s="808"/>
      <c r="B767" s="166"/>
      <c r="C767" s="166"/>
      <c r="D767" s="166"/>
      <c r="E767" s="1550" t="str">
        <f>IF(E764="","",IF(T765=TRUE,HYPERLINK("#JUMP_14",EUconst_MsgGoOnPFC),HYPERLINK("#JUMP_E_8",EUconst_FurtherGuidancePoint1)))</f>
        <v/>
      </c>
      <c r="F767" s="1550"/>
      <c r="G767" s="1550"/>
      <c r="H767" s="1550"/>
      <c r="I767" s="1550"/>
      <c r="J767" s="1550"/>
      <c r="K767" s="1550"/>
      <c r="L767" s="1550"/>
      <c r="M767" s="1550"/>
      <c r="N767" s="143"/>
      <c r="O767" s="733"/>
      <c r="P767" s="33"/>
      <c r="Q767" s="352" t="str">
        <f>EUconst_SumNonSustBioCO2 &amp; "_" &amp; K764</f>
        <v>SUM_bioNonSustCO2_</v>
      </c>
      <c r="R767" s="707"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4"/>
      <c r="AK767" s="504"/>
      <c r="AL767" s="342"/>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4.5" hidden="1" customHeight="1">
      <c r="A768" s="808"/>
      <c r="B768" s="166"/>
      <c r="C768" s="166"/>
      <c r="D768" s="166"/>
      <c r="E768" s="166"/>
      <c r="F768" s="166"/>
      <c r="G768" s="166"/>
      <c r="M768" s="143"/>
      <c r="N768" s="143"/>
      <c r="O768" s="733"/>
      <c r="P768" s="23"/>
      <c r="Q768" s="23"/>
      <c r="R768" s="23"/>
      <c r="S768" s="23"/>
      <c r="T768" s="23"/>
      <c r="U768" s="23"/>
      <c r="V768" s="30"/>
      <c r="W768" s="30"/>
      <c r="X768" s="30"/>
      <c r="Y768" s="494"/>
      <c r="Z768" s="30"/>
      <c r="AA768" s="30"/>
      <c r="AB768" s="30"/>
      <c r="AC768" s="30"/>
      <c r="AD768" s="30"/>
      <c r="AE768" s="30"/>
      <c r="AF768" s="58"/>
      <c r="AG768" s="30"/>
      <c r="AH768" s="30"/>
      <c r="AI768" s="30"/>
      <c r="AJ768" s="504"/>
      <c r="AK768" s="504"/>
      <c r="AL768" s="342"/>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hidden="1" customHeight="1" thickBot="1">
      <c r="A769" s="808"/>
      <c r="B769" s="166"/>
      <c r="C769" s="814" t="s">
        <v>4</v>
      </c>
      <c r="D769" s="512" t="str">
        <f>Translations!$B$622</f>
        <v>VD:</v>
      </c>
      <c r="E769" s="1560" t="str">
        <f>Translations!$B$667</f>
        <v>Ar veiklos duomenys gaunami sudedant išmatuotus kiekius (t. y. ne atliekant nuolatinius matavimus)?</v>
      </c>
      <c r="F769" s="1560"/>
      <c r="G769" s="1560"/>
      <c r="H769" s="1560"/>
      <c r="I769" s="1560"/>
      <c r="J769" s="1560"/>
      <c r="K769" s="1560"/>
      <c r="L769" s="1179"/>
      <c r="M769" s="507"/>
      <c r="O769" s="733"/>
      <c r="P769" s="23"/>
      <c r="Q769" s="23"/>
      <c r="R769" s="23"/>
      <c r="S769" s="23"/>
      <c r="T769" s="23"/>
      <c r="U769" s="23"/>
      <c r="V769" s="30"/>
      <c r="W769" s="30"/>
      <c r="X769" s="30"/>
      <c r="Y769" s="494"/>
      <c r="Z769" s="30"/>
      <c r="AA769" s="30"/>
      <c r="AB769" s="30"/>
      <c r="AC769" s="1172" t="b">
        <f>AND(E764&lt;&gt;"",T765&lt;&gt;TRUE)</f>
        <v>0</v>
      </c>
      <c r="AD769" s="30"/>
      <c r="AE769" s="30"/>
      <c r="AF769" s="58"/>
      <c r="AG769" s="30"/>
      <c r="AH769" s="30"/>
      <c r="AI769" s="30"/>
      <c r="AJ769" s="504"/>
      <c r="AK769" s="504"/>
      <c r="AL769" s="342"/>
      <c r="AM769" s="30"/>
      <c r="AN769" s="30"/>
      <c r="AO769" s="30"/>
      <c r="AP769" s="30"/>
      <c r="AQ769" s="30"/>
      <c r="AR769" s="30"/>
      <c r="AS769" s="30"/>
      <c r="AT769" s="1172"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2" t="b">
        <f>OR(CNTR_CalcRelevant=EUconst_NotRelevant,AND(COUNTA(CNTR_ListRelevantSections)&gt;0,OR(T765=TRUE,E764="")))</f>
        <v>1</v>
      </c>
    </row>
    <row r="770" spans="1:78" s="142" customFormat="1" ht="5.0999999999999996" hidden="1" customHeight="1">
      <c r="A770" s="808"/>
      <c r="B770" s="166"/>
      <c r="C770" s="166"/>
      <c r="D770" s="166"/>
      <c r="E770" s="166"/>
      <c r="F770" s="166"/>
      <c r="G770" s="166"/>
      <c r="H770" s="495"/>
      <c r="I770" s="495"/>
      <c r="J770" s="495"/>
      <c r="K770" s="495"/>
      <c r="L770" s="495"/>
      <c r="M770" s="507"/>
      <c r="O770" s="733"/>
      <c r="P770" s="23"/>
      <c r="Q770" s="23"/>
      <c r="R770" s="23"/>
      <c r="S770" s="23"/>
      <c r="T770" s="23"/>
      <c r="U770" s="23"/>
      <c r="V770" s="30"/>
      <c r="W770" s="30"/>
      <c r="X770" s="30"/>
      <c r="Y770" s="494"/>
      <c r="Z770" s="30"/>
      <c r="AA770" s="30"/>
      <c r="AB770" s="30"/>
      <c r="AC770" s="492"/>
      <c r="AD770" s="30"/>
      <c r="AE770" s="30"/>
      <c r="AF770" s="58"/>
      <c r="AG770" s="30"/>
      <c r="AH770" s="30"/>
      <c r="AI770" s="30"/>
      <c r="AJ770" s="504"/>
      <c r="AK770" s="504"/>
      <c r="AL770" s="342"/>
      <c r="AM770" s="30"/>
      <c r="AN770" s="30"/>
      <c r="AO770" s="30"/>
      <c r="AP770" s="30"/>
      <c r="AQ770" s="30"/>
      <c r="AR770" s="30"/>
      <c r="AS770" s="30"/>
      <c r="AT770" s="492"/>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2"/>
    </row>
    <row r="771" spans="1:78" s="142" customFormat="1" ht="12.75" hidden="1" customHeight="1" thickBot="1">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3"/>
      <c r="Q771" s="23"/>
      <c r="R771" s="23"/>
      <c r="S771" s="23"/>
      <c r="T771" s="23"/>
      <c r="U771" s="23"/>
      <c r="V771" s="30"/>
      <c r="W771" s="30"/>
      <c r="X771" s="30"/>
      <c r="Y771" s="494"/>
      <c r="Z771" s="30"/>
      <c r="AA771" s="30"/>
      <c r="AB771" s="30"/>
      <c r="AC771" s="1172" t="b">
        <f>AC769</f>
        <v>0</v>
      </c>
      <c r="AD771" s="30"/>
      <c r="AE771" s="30"/>
      <c r="AF771" s="58"/>
      <c r="AG771" s="30"/>
      <c r="AH771" s="30"/>
      <c r="AI771" s="30"/>
      <c r="AJ771" s="504"/>
      <c r="AK771" s="504"/>
      <c r="AL771" s="342"/>
      <c r="AM771" s="30"/>
      <c r="AN771" s="30"/>
      <c r="AO771" s="30"/>
      <c r="AP771" s="30"/>
      <c r="AQ771" s="30"/>
      <c r="AR771" s="30"/>
      <c r="AS771" s="30"/>
      <c r="AT771" s="1172"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2" t="b">
        <f>OR(BZ769,AND(NOT(ISBLANK(L769)),L769=FALSE))</f>
        <v>1</v>
      </c>
    </row>
    <row r="772" spans="1:78" s="142" customFormat="1" ht="4.5" hidden="1" customHeight="1">
      <c r="A772" s="808"/>
      <c r="B772" s="166"/>
      <c r="C772" s="166"/>
      <c r="D772" s="166"/>
      <c r="E772" s="166"/>
      <c r="F772" s="166"/>
      <c r="G772" s="166"/>
      <c r="M772" s="143"/>
      <c r="N772" s="143"/>
      <c r="O772" s="733"/>
      <c r="P772" s="23"/>
      <c r="Q772" s="23"/>
      <c r="R772" s="23"/>
      <c r="S772" s="23"/>
      <c r="T772" s="23"/>
      <c r="U772" s="23"/>
      <c r="V772" s="30"/>
      <c r="W772" s="30"/>
      <c r="X772" s="30"/>
      <c r="Y772" s="494"/>
      <c r="Z772" s="30"/>
      <c r="AA772" s="30"/>
      <c r="AB772" s="30"/>
      <c r="AC772" s="30"/>
      <c r="AD772" s="30"/>
      <c r="AE772" s="30"/>
      <c r="AF772" s="58"/>
      <c r="AG772" s="30"/>
      <c r="AH772" s="30"/>
      <c r="AI772" s="30"/>
      <c r="AJ772" s="504"/>
      <c r="AK772" s="504"/>
      <c r="AL772" s="342"/>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hidden="1" customHeight="1" thickBot="1">
      <c r="A773" s="808"/>
      <c r="B773" s="166"/>
      <c r="C773" s="166"/>
      <c r="D773" s="166"/>
      <c r="E773" s="166"/>
      <c r="F773" s="506" t="str">
        <f>Translations!$B$333</f>
        <v>Pakopa</v>
      </c>
      <c r="G773" s="1557" t="str">
        <f>Translations!$B$672</f>
        <v>pakopos aprašas</v>
      </c>
      <c r="H773" s="1557"/>
      <c r="I773" s="1555" t="str">
        <f>Translations!$B$158</f>
        <v>Vienetas</v>
      </c>
      <c r="J773" s="1555"/>
      <c r="K773" s="1555" t="str">
        <f>Translations!$B$673</f>
        <v>Vertė</v>
      </c>
      <c r="L773" s="1555"/>
      <c r="M773" s="507" t="str">
        <f>Translations!$B$610</f>
        <v>klaida</v>
      </c>
      <c r="O773" s="733"/>
      <c r="P773" s="508"/>
      <c r="Q773" s="352" t="str">
        <f>EUconst_SumEnergyIN &amp; "_" &amp; K764</f>
        <v>SUM_EnergyIN_</v>
      </c>
      <c r="R773" s="399" t="str">
        <f>IF(OR(K764="",T765)=TRUE,"",INDEX(BC779:BE779,MATCH(K764,BC774:BE774,0)))</f>
        <v/>
      </c>
      <c r="S773" s="30"/>
      <c r="T773" s="489"/>
      <c r="U773" s="30"/>
      <c r="V773" s="509" t="s">
        <v>303</v>
      </c>
      <c r="W773" s="30"/>
      <c r="X773" s="30"/>
      <c r="Y773" s="494" t="s">
        <v>566</v>
      </c>
      <c r="Z773" s="494" t="s">
        <v>318</v>
      </c>
      <c r="AA773" s="30"/>
      <c r="AB773" s="30"/>
      <c r="AC773" s="505" t="s">
        <v>309</v>
      </c>
      <c r="AD773" s="30"/>
      <c r="AE773" s="30"/>
      <c r="AF773" s="492" t="s">
        <v>305</v>
      </c>
      <c r="AG773" s="492" t="s">
        <v>306</v>
      </c>
      <c r="AH773" s="494" t="s">
        <v>304</v>
      </c>
      <c r="AI773" s="504" t="s">
        <v>307</v>
      </c>
      <c r="AJ773" s="504" t="s">
        <v>567</v>
      </c>
      <c r="AK773" s="510" t="s">
        <v>311</v>
      </c>
      <c r="AL773" s="342"/>
      <c r="AM773" s="30"/>
      <c r="AN773" s="492" t="s">
        <v>305</v>
      </c>
      <c r="AO773" s="492" t="s">
        <v>306</v>
      </c>
      <c r="AP773" s="511" t="s">
        <v>310</v>
      </c>
      <c r="AQ773" s="504" t="s">
        <v>569</v>
      </c>
      <c r="AR773" s="504" t="s">
        <v>568</v>
      </c>
      <c r="AS773" s="510" t="s">
        <v>609</v>
      </c>
      <c r="AT773" s="510" t="s">
        <v>609</v>
      </c>
      <c r="AU773" s="30"/>
      <c r="AV773" s="492"/>
      <c r="AW773" s="492"/>
      <c r="AX773" s="492" t="s">
        <v>321</v>
      </c>
      <c r="AY773" s="492"/>
      <c r="AZ773" s="492"/>
      <c r="BA773" s="492"/>
      <c r="BB773" s="492"/>
      <c r="BC773" s="492"/>
      <c r="BD773" s="492"/>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3" t="s">
        <v>262</v>
      </c>
    </row>
    <row r="774" spans="1:78" s="142" customFormat="1" ht="6.75" hidden="1" customHeight="1" thickBot="1">
      <c r="A774" s="808"/>
      <c r="B774" s="166"/>
      <c r="C774" s="777" t="s">
        <v>196</v>
      </c>
      <c r="D774" s="512" t="str">
        <f>Translations!$B$622</f>
        <v>VD:</v>
      </c>
      <c r="E774" s="513"/>
      <c r="F774" s="402"/>
      <c r="G774" s="1532" t="str">
        <f>IF(OR(ISBLANK(F774),F774=EUconst_NoTier),"",IF(Z774=0,EUconst_NA,IF(ISERROR(Z774),"",Z774)))</f>
        <v/>
      </c>
      <c r="H774" s="1533"/>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0"/>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0"/>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0"/>
      <c r="AV774" s="492" t="s">
        <v>314</v>
      </c>
      <c r="AW774" s="492" t="s">
        <v>319</v>
      </c>
      <c r="AX774" s="524"/>
      <c r="AY774" s="30" t="s">
        <v>542</v>
      </c>
      <c r="AZ774" s="30"/>
      <c r="BA774" s="30"/>
      <c r="BB774" s="504"/>
      <c r="BC774" s="493" t="str">
        <f>EUconst_Fuel</f>
        <v>Degimas</v>
      </c>
      <c r="BD774" s="493" t="str">
        <f>EUconst_ProcessCarbonate</f>
        <v>Proceso metu išsiskiriančios ŠESD</v>
      </c>
      <c r="BE774" s="493"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4" t="b">
        <f>BZ769</f>
        <v>1</v>
      </c>
    </row>
    <row r="775" spans="1:78" s="142" customFormat="1" ht="4.5" hidden="1" customHeight="1">
      <c r="A775" s="808"/>
      <c r="B775" s="166"/>
      <c r="C775" s="814"/>
      <c r="D775" s="306"/>
      <c r="F775" s="143"/>
      <c r="G775" s="143"/>
      <c r="H775" s="143" t="s">
        <v>236</v>
      </c>
      <c r="I775" s="525"/>
      <c r="J775" s="525"/>
      <c r="K775" s="143"/>
      <c r="L775" s="143"/>
      <c r="M775" s="710"/>
      <c r="O775" s="733"/>
      <c r="P775" s="33"/>
      <c r="Q775" s="33"/>
      <c r="R775" s="33"/>
      <c r="S775" s="30"/>
      <c r="T775" s="155"/>
      <c r="U775" s="497"/>
      <c r="V775" s="30"/>
      <c r="W775" s="30"/>
      <c r="X775" s="497"/>
      <c r="Y775" s="526"/>
      <c r="Z775" s="30"/>
      <c r="AA775" s="30"/>
      <c r="AB775" s="30"/>
      <c r="AC775" s="30"/>
      <c r="AD775" s="30"/>
      <c r="AE775" s="30"/>
      <c r="AF775" s="30"/>
      <c r="AG775" s="30"/>
      <c r="AH775" s="30"/>
      <c r="AI775" s="30"/>
      <c r="AJ775" s="30"/>
      <c r="AK775" s="30"/>
      <c r="AL775" s="342"/>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3"/>
    </row>
    <row r="776" spans="1:78" s="142" customFormat="1" ht="12.75" hidden="1" customHeight="1" thickBot="1">
      <c r="A776" s="808"/>
      <c r="B776" s="166"/>
      <c r="C776" s="814" t="s">
        <v>197</v>
      </c>
      <c r="D776" s="512" t="str">
        <f>Translations!$B$634</f>
        <v>(prelim.) ITF:</v>
      </c>
      <c r="E776" s="513"/>
      <c r="F776" s="527"/>
      <c r="G776" s="1532" t="str">
        <f t="shared" ref="G776:G782" si="182">IF(OR(ISBLANK(F776),F776=EUconst_NoTier),"",IF(Z776=0,EUconst_NotApplicable,IF(ISERROR(Z776),"",Z776)))</f>
        <v/>
      </c>
      <c r="H776" s="1556"/>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3"/>
      <c r="Q776" s="33"/>
      <c r="R776" s="33"/>
      <c r="S776" s="30"/>
      <c r="T776" s="530" t="str">
        <f>EUconst_CNTR_EF&amp;E765</f>
        <v>EF_</v>
      </c>
      <c r="U776" s="497"/>
      <c r="V776" s="531" t="str">
        <f>V774</f>
        <v/>
      </c>
      <c r="W776" s="30"/>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0"/>
      <c r="AC776" s="535" t="b">
        <f>AND(AC774,Y776&lt;&gt;EUconst_NA)</f>
        <v>0</v>
      </c>
      <c r="AD776" s="30"/>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0"/>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0"/>
      <c r="BA776" s="30"/>
      <c r="BB776" s="547" t="s">
        <v>594</v>
      </c>
      <c r="BC776" s="546" t="str">
        <f>IF(K764=BC774,AR774*IF(AJ776=EUconst_tCO2pTJ,(AR777/1000),1)*AR776*AR778*AR782,"")</f>
        <v/>
      </c>
      <c r="BD776" s="524" t="str">
        <f>IF(K764=BD774,AR774*AR776*AR779*AR782,"")</f>
        <v/>
      </c>
      <c r="BE776" s="523"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1" t="b">
        <f>OR(BZ774,Y776=EUconst_NA)</f>
        <v>1</v>
      </c>
    </row>
    <row r="777" spans="1:78" s="142" customFormat="1" ht="12.75" hidden="1" customHeight="1" thickBot="1">
      <c r="A777" s="808"/>
      <c r="B777" s="166"/>
      <c r="C777" s="814" t="s">
        <v>198</v>
      </c>
      <c r="D777" s="512" t="str">
        <f>Translations!$B$636</f>
        <v>GŠV:</v>
      </c>
      <c r="E777" s="513"/>
      <c r="F777" s="548"/>
      <c r="G777" s="1532" t="str">
        <f t="shared" si="182"/>
        <v/>
      </c>
      <c r="H777" s="1533"/>
      <c r="I777" s="1169" t="str">
        <f>AJ777</f>
        <v/>
      </c>
      <c r="J777" s="549"/>
      <c r="K777" s="550" t="str">
        <f t="shared" si="183"/>
        <v/>
      </c>
      <c r="L777" s="551"/>
      <c r="M777" s="709" t="str">
        <f>IF(AND(E765&lt;&gt;"",OR(F777="",COUNT(K777:L777)=0),Y777&lt;&gt;EUconst_NA,T765&lt;&gt;TRUE),EUconst_ERR_Incomplete,IF(COUNTIF(AX777:AZ777,TRUE)&gt;0,EUconst_ERR_Inconsistent,""))</f>
        <v/>
      </c>
      <c r="O777" s="733"/>
      <c r="P777" s="33"/>
      <c r="Q777" s="33"/>
      <c r="R777" s="33"/>
      <c r="S777" s="30"/>
      <c r="T777" s="552" t="str">
        <f>EUconst_CNTR_NCV&amp;E765</f>
        <v>NCV_</v>
      </c>
      <c r="U777" s="497"/>
      <c r="V777" s="553" t="str">
        <f t="shared" ref="V777:V782" si="188">V776</f>
        <v/>
      </c>
      <c r="W777" s="30"/>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0"/>
      <c r="AC777" s="557" t="b">
        <f>AND(AC774,Y777&lt;&gt;EUconst_NA)</f>
        <v>0</v>
      </c>
      <c r="AD777" s="30"/>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0"/>
      <c r="AV777" s="567" t="b">
        <f t="shared" si="185"/>
        <v>0</v>
      </c>
      <c r="AW777" s="568" t="b">
        <f t="shared" si="186"/>
        <v>0</v>
      </c>
      <c r="AX777" s="30"/>
      <c r="AY777" s="553" t="b">
        <f t="shared" si="187"/>
        <v>0</v>
      </c>
      <c r="AZ777" s="30"/>
      <c r="BA777" s="30"/>
      <c r="BB777" s="547" t="s">
        <v>595</v>
      </c>
      <c r="BC777" s="546" t="str">
        <f>IF(K764=BC774,AR774*IF(AJ776=EUconst_tCO2pTJ,(AR777/1000),1)*AR776*AR778*AR781,"")</f>
        <v/>
      </c>
      <c r="BD777" s="524" t="str">
        <f>IF(K764=BD774,AR774*AR776*AR779*AR781,"")</f>
        <v/>
      </c>
      <c r="BE777" s="523"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3" t="b">
        <f>OR(BZ774,Y777=EUconst_NA)</f>
        <v>1</v>
      </c>
    </row>
    <row r="778" spans="1:78" s="142" customFormat="1" ht="12.75" hidden="1" customHeight="1" thickBot="1">
      <c r="A778" s="808"/>
      <c r="B778" s="166"/>
      <c r="C778" s="814" t="s">
        <v>199</v>
      </c>
      <c r="D778" s="512" t="str">
        <f>Translations!$B$638</f>
        <v>OksK:</v>
      </c>
      <c r="E778" s="513"/>
      <c r="F778" s="548"/>
      <c r="G778" s="1532" t="str">
        <f t="shared" si="182"/>
        <v/>
      </c>
      <c r="H778" s="1533"/>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3"/>
      <c r="Q778" s="33"/>
      <c r="R778" s="33"/>
      <c r="S778" s="30"/>
      <c r="T778" s="552" t="str">
        <f>EUconst_CNTR_OxidationFactor&amp;E765</f>
        <v>OxF_</v>
      </c>
      <c r="U778" s="497"/>
      <c r="V778" s="553" t="str">
        <f t="shared" si="188"/>
        <v/>
      </c>
      <c r="W778" s="30"/>
      <c r="X778" s="497"/>
      <c r="Y778" s="554" t="str">
        <f>IF(OR(T765=TRUE,E765=""),"",INDEX(EUwideConstants!$N:$N,MATCH(T778,EUwideConstants!$Q:$Q,0)))</f>
        <v/>
      </c>
      <c r="Z778" s="555" t="str">
        <f>IF(ISBLANK(F778),"",IF(F778=EUconst_NA,"",INDEX(EUwideConstants!$H:$M,MATCH(T778,EUwideConstants!$Q:$Q,0),MATCH(F778,CNTR_TierList,0))))</f>
        <v/>
      </c>
      <c r="AA778" s="534" t="str">
        <f>IF(F778=1,1,"")</f>
        <v/>
      </c>
      <c r="AB778" s="30"/>
      <c r="AC778" s="557" t="b">
        <f>AND(AC774,Y778&lt;&gt;EUconst_NA)</f>
        <v>0</v>
      </c>
      <c r="AD778" s="30"/>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0"/>
      <c r="AV778" s="567" t="b">
        <f t="shared" si="185"/>
        <v>0</v>
      </c>
      <c r="AW778" s="568" t="b">
        <f t="shared" si="186"/>
        <v>0</v>
      </c>
      <c r="AX778" s="30"/>
      <c r="AY778" s="594" t="b">
        <f t="shared" si="187"/>
        <v>0</v>
      </c>
      <c r="AZ778" s="531" t="b">
        <f>AR778&gt;100%</f>
        <v>0</v>
      </c>
      <c r="BA778" s="30"/>
      <c r="BB778" s="547" t="s">
        <v>290</v>
      </c>
      <c r="BC778" s="546" t="str">
        <f>IF(K764=BC774,AR774*IF(AJ776=EUconst_tCO2pTJ,(AR777/1000),1)*AR776*AR778*(1-AR781),"")</f>
        <v/>
      </c>
      <c r="BD778" s="524" t="str">
        <f>IF(K764=BD774,AR774*AR776*AR779*(1-AR781),"")</f>
        <v/>
      </c>
      <c r="BE778" s="523"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3" t="b">
        <f>OR(BZ774,Y778=EUconst_NA)</f>
        <v>1</v>
      </c>
    </row>
    <row r="779" spans="1:78" s="142" customFormat="1" ht="12.75" hidden="1" customHeight="1" thickBot="1">
      <c r="A779" s="808"/>
      <c r="B779" s="166"/>
      <c r="C779" s="814" t="s">
        <v>200</v>
      </c>
      <c r="D779" s="512" t="str">
        <f>Translations!$B$639</f>
        <v>KonvK:</v>
      </c>
      <c r="E779" s="513"/>
      <c r="F779" s="548"/>
      <c r="G779" s="1532" t="str">
        <f t="shared" si="182"/>
        <v/>
      </c>
      <c r="H779" s="1533"/>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3"/>
      <c r="Q779" s="33"/>
      <c r="R779" s="33"/>
      <c r="S779" s="30"/>
      <c r="T779" s="552" t="str">
        <f>EUconst_CNTR_ConversionFactor&amp;E765</f>
        <v>ConvF_</v>
      </c>
      <c r="U779" s="497"/>
      <c r="V779" s="553" t="str">
        <f t="shared" si="188"/>
        <v/>
      </c>
      <c r="W779" s="30"/>
      <c r="X779" s="497"/>
      <c r="Y779" s="554" t="str">
        <f>IF(OR(T765=TRUE,E765=""),"",INDEX(EUwideConstants!$N:$N,MATCH(T779,EUwideConstants!$Q:$Q,0)))</f>
        <v/>
      </c>
      <c r="Z779" s="555" t="str">
        <f>IF(ISBLANK(F779),"",IF(F779=EUconst_NA,"",INDEX(EUwideConstants!$H:$M,MATCH(T779,EUwideConstants!$Q:$Q,0),MATCH(F779,CNTR_TierList,0))))</f>
        <v/>
      </c>
      <c r="AA779" s="582" t="str">
        <f>IF(F779=1,1,"")</f>
        <v/>
      </c>
      <c r="AB779" s="30"/>
      <c r="AC779" s="557" t="b">
        <f>AND(AC774,Y779&lt;&gt;EUconst_NA)</f>
        <v>0</v>
      </c>
      <c r="AD779" s="30"/>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0"/>
      <c r="AV779" s="567" t="b">
        <f t="shared" si="185"/>
        <v>0</v>
      </c>
      <c r="AW779" s="568" t="b">
        <f t="shared" si="186"/>
        <v>0</v>
      </c>
      <c r="AX779" s="30"/>
      <c r="AY779" s="594" t="b">
        <f t="shared" si="187"/>
        <v>0</v>
      </c>
      <c r="AZ779" s="580" t="b">
        <f>AR779&gt;100%</f>
        <v>0</v>
      </c>
      <c r="BA779" s="30"/>
      <c r="BB779" s="578" t="s">
        <v>487</v>
      </c>
      <c r="BC779" s="579">
        <f>AR774*AR777/1000*(1-AR781)</f>
        <v>0</v>
      </c>
      <c r="BD779" s="580">
        <f>BC779</f>
        <v>0</v>
      </c>
      <c r="BE779" s="581">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3" t="b">
        <f>OR(BZ774,Y779=EUconst_NA)</f>
        <v>1</v>
      </c>
    </row>
    <row r="780" spans="1:78" s="142" customFormat="1" ht="12.75" hidden="1" customHeight="1" thickBot="1">
      <c r="A780" s="808"/>
      <c r="B780" s="166"/>
      <c r="C780" s="814" t="s">
        <v>329</v>
      </c>
      <c r="D780" s="512" t="str">
        <f>Translations!$B$640</f>
        <v>AnglK:</v>
      </c>
      <c r="E780" s="513"/>
      <c r="F780" s="548"/>
      <c r="G780" s="1532" t="str">
        <f t="shared" si="182"/>
        <v/>
      </c>
      <c r="H780" s="1533"/>
      <c r="I780" s="1170" t="str">
        <f>AJ780</f>
        <v/>
      </c>
      <c r="J780" s="586"/>
      <c r="K780" s="587" t="str">
        <f t="shared" si="183"/>
        <v/>
      </c>
      <c r="L780" s="588"/>
      <c r="M780" s="709" t="str">
        <f>IF(AND(E765&lt;&gt;"",OR(F780="",COUNT(K780:L780)=0),Y780&lt;&gt;EUconst_NA,T765&lt;&gt;TRUE),EUconst_ERR_Incomplete,IF(COUNTIF(AX780:AZ780,TRUE)&gt;0,EUconst_ERR_Inconsistent,""))</f>
        <v/>
      </c>
      <c r="O780" s="733"/>
      <c r="P780" s="33"/>
      <c r="Q780" s="33"/>
      <c r="R780" s="33"/>
      <c r="S780" s="30"/>
      <c r="T780" s="552" t="str">
        <f>EUconst_CNTR_CarbonContent&amp;E765</f>
        <v>CarbC_</v>
      </c>
      <c r="U780" s="497"/>
      <c r="V780" s="553" t="str">
        <f t="shared" si="188"/>
        <v/>
      </c>
      <c r="W780" s="30"/>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0"/>
      <c r="AC780" s="557" t="b">
        <f>AND(AC774,Y780&lt;&gt;EUconst_NA)</f>
        <v>0</v>
      </c>
      <c r="AD780" s="30"/>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0"/>
      <c r="AV780" s="567" t="b">
        <f t="shared" si="185"/>
        <v>0</v>
      </c>
      <c r="AW780" s="568" t="b">
        <f t="shared" si="186"/>
        <v>0</v>
      </c>
      <c r="AX780" s="546" t="b">
        <f>OR(AND(AJ774=EUconst_kNm3,AJ780=EUconst_tCpt),AND(AJ774=EUconst_t,AJ780=EUconst_tCpkNm3))</f>
        <v>0</v>
      </c>
      <c r="AY780" s="553" t="b">
        <f t="shared" si="187"/>
        <v>0</v>
      </c>
      <c r="AZ780" s="30"/>
      <c r="BA780" s="30"/>
      <c r="BB780" s="578" t="s">
        <v>488</v>
      </c>
      <c r="BC780" s="579">
        <f>AR774*AR777/1000*AR781</f>
        <v>0</v>
      </c>
      <c r="BD780" s="580">
        <f>BC780</f>
        <v>0</v>
      </c>
      <c r="BE780" s="581">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3" t="b">
        <f>OR(BZ774,Y780=EUconst_NA)</f>
        <v>1</v>
      </c>
    </row>
    <row r="781" spans="1:78" s="142" customFormat="1" ht="12.75" hidden="1" customHeight="1">
      <c r="A781" s="808"/>
      <c r="B781" s="166"/>
      <c r="C781" s="777" t="s">
        <v>330</v>
      </c>
      <c r="D781" s="512" t="str">
        <f>Translations!$B$641</f>
        <v>BioC:</v>
      </c>
      <c r="E781" s="513"/>
      <c r="F781" s="548"/>
      <c r="G781" s="1532" t="str">
        <f t="shared" si="182"/>
        <v/>
      </c>
      <c r="H781" s="1533"/>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0"/>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0"/>
      <c r="AC781" s="557" t="b">
        <f>AND(AC774,Y781&lt;&gt;EUconst_NA)</f>
        <v>0</v>
      </c>
      <c r="AD781" s="30"/>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0"/>
      <c r="AV781" s="567" t="b">
        <f t="shared" si="185"/>
        <v>0</v>
      </c>
      <c r="AW781" s="568" t="b">
        <f t="shared" si="186"/>
        <v>0</v>
      </c>
      <c r="AX781" s="30"/>
      <c r="AY781" s="594" t="b">
        <f t="shared" si="187"/>
        <v>0</v>
      </c>
      <c r="AZ781" s="531"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3" t="b">
        <f>OR(BZ774,Y781=EUconst_NA)</f>
        <v>1</v>
      </c>
    </row>
    <row r="782" spans="1:78" s="142" customFormat="1" ht="12.75" hidden="1" customHeight="1" thickBot="1">
      <c r="A782" s="808"/>
      <c r="B782" s="166"/>
      <c r="C782" s="777" t="s">
        <v>454</v>
      </c>
      <c r="D782" s="512" t="str">
        <f>Translations!$B$647</f>
        <v>Netvar. BioC:</v>
      </c>
      <c r="E782" s="513"/>
      <c r="F782" s="597"/>
      <c r="G782" s="1532" t="str">
        <f t="shared" si="182"/>
        <v/>
      </c>
      <c r="H782" s="1533"/>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0"/>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0"/>
      <c r="AC782" s="603" t="b">
        <f>AND(AC774,Y782&lt;&gt;EUconst_NA)</f>
        <v>0</v>
      </c>
      <c r="AD782" s="30"/>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0"/>
      <c r="AV782" s="613" t="b">
        <f t="shared" si="185"/>
        <v>0</v>
      </c>
      <c r="AW782" s="614" t="b">
        <f t="shared" si="186"/>
        <v>0</v>
      </c>
      <c r="AX782" s="30"/>
      <c r="AY782" s="579" t="b">
        <f t="shared" si="187"/>
        <v>0</v>
      </c>
      <c r="AZ782" s="580"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80" t="b">
        <f>OR(BZ774,Y782=EUconst_NA)</f>
        <v>1</v>
      </c>
    </row>
    <row r="783" spans="1:78" s="142" customFormat="1" ht="4.5" hidden="1" customHeight="1">
      <c r="A783" s="808"/>
      <c r="B783" s="166"/>
      <c r="C783" s="166"/>
      <c r="D783" s="180"/>
      <c r="O783" s="733"/>
      <c r="P783" s="33"/>
      <c r="Q783" s="33"/>
      <c r="R783" s="33"/>
      <c r="S783" s="174"/>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hidden="1" customHeight="1">
      <c r="A784" s="808"/>
      <c r="B784" s="166"/>
      <c r="C784" s="166"/>
      <c r="D784" s="1558" t="str">
        <f>Translations!$B$674</f>
        <v>Pakopos galioja nuo:</v>
      </c>
      <c r="E784" s="1558"/>
      <c r="F784" s="1559"/>
      <c r="G784" s="1052"/>
      <c r="H784" s="615" t="str">
        <f>Translations!$B$675</f>
        <v>iki:</v>
      </c>
      <c r="I784" s="1052"/>
      <c r="J784" s="1536" t="str">
        <f>Translations!$B$676</f>
        <v>Atliekų katalogo numeris (jeigu taikytina):</v>
      </c>
      <c r="K784" s="1537"/>
      <c r="L784" s="1537"/>
      <c r="M784" s="1538"/>
      <c r="N784" s="1289"/>
      <c r="O784" s="733"/>
      <c r="P784" s="33"/>
      <c r="Q784" s="33"/>
      <c r="R784" s="33"/>
      <c r="S784" s="1290"/>
      <c r="T784" s="492"/>
      <c r="U784" s="492"/>
      <c r="V784" s="48" t="b">
        <f>IF(V774="",FALSE,INDEX(CNTR_IsWaste,MATCH(V774,MSParameters!$A$218:$A$376,0)))</f>
        <v>0</v>
      </c>
      <c r="W784" s="1290"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hidden="1" customHeight="1">
      <c r="A785" s="808"/>
      <c r="B785" s="166"/>
      <c r="C785" s="166"/>
      <c r="D785" s="615"/>
      <c r="E785" s="495"/>
      <c r="F785" s="495"/>
      <c r="G785" s="495"/>
      <c r="H785" s="495"/>
      <c r="I785" s="495"/>
      <c r="J785" s="495"/>
      <c r="K785" s="495"/>
      <c r="L785" s="495"/>
      <c r="M785" s="495"/>
      <c r="N785" s="495"/>
      <c r="O785" s="733"/>
      <c r="P785" s="33"/>
      <c r="Q785" s="33"/>
      <c r="R785" s="33"/>
      <c r="S785" s="174"/>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hidden="1" customHeight="1">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3"/>
      <c r="Q786" s="33"/>
      <c r="R786" s="33"/>
      <c r="S786" s="174"/>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hidden="1" customHeight="1">
      <c r="A787" s="815"/>
      <c r="D787" s="180"/>
      <c r="O787" s="573"/>
      <c r="P787" s="497"/>
      <c r="Q787" s="497"/>
      <c r="R787" s="497"/>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hidden="1">
      <c r="A788" s="815"/>
      <c r="D788" s="1534" t="str">
        <f>Translations!$B$160</f>
        <v>Pastabos:</v>
      </c>
      <c r="E788" s="1535"/>
      <c r="F788" s="1539"/>
      <c r="G788" s="1540"/>
      <c r="H788" s="1540"/>
      <c r="I788" s="1540"/>
      <c r="J788" s="1540"/>
      <c r="K788" s="1540"/>
      <c r="L788" s="1540"/>
      <c r="M788" s="1540"/>
      <c r="N788" s="1541"/>
      <c r="O788" s="573"/>
      <c r="P788" s="497"/>
      <c r="Q788" s="497"/>
      <c r="R788" s="497"/>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c r="A789" s="808"/>
      <c r="B789" s="495"/>
      <c r="C789" s="499"/>
      <c r="D789" s="500"/>
      <c r="E789" s="501"/>
      <c r="F789" s="499"/>
      <c r="G789" s="502"/>
      <c r="H789" s="502"/>
      <c r="I789" s="502"/>
      <c r="J789" s="502"/>
      <c r="K789" s="502"/>
      <c r="L789" s="502"/>
      <c r="M789" s="502"/>
      <c r="N789" s="502"/>
      <c r="O789" s="740"/>
      <c r="P789" s="494"/>
      <c r="Q789" s="494"/>
      <c r="R789" s="494"/>
      <c r="S789" s="58"/>
      <c r="T789" s="58"/>
      <c r="U789" s="498"/>
      <c r="V789" s="58"/>
      <c r="W789" s="58"/>
      <c r="X789" s="49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c r="A790" s="813"/>
      <c r="B790" s="495"/>
      <c r="C790" s="495"/>
      <c r="D790" s="180"/>
      <c r="E790" s="496"/>
      <c r="F790" s="495"/>
      <c r="G790" s="487"/>
      <c r="H790" s="487"/>
      <c r="I790" s="487"/>
      <c r="J790" s="487"/>
      <c r="K790" s="495"/>
      <c r="L790" s="487"/>
      <c r="M790" s="487"/>
      <c r="N790" s="487"/>
      <c r="O790" s="740"/>
      <c r="P790" s="494"/>
      <c r="Q790" s="494"/>
      <c r="R790" s="494"/>
      <c r="S790" s="23"/>
      <c r="T790" s="27" t="str">
        <f>IF(ISBLANK(E791),"",MATCH(E791,CNTR_SourceStreamNames,0))</f>
        <v/>
      </c>
      <c r="U790" s="618"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1"/>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3" t="s">
        <v>262</v>
      </c>
    </row>
    <row r="791" spans="1:78" s="142" customFormat="1" ht="15" hidden="1" customHeight="1" thickBot="1">
      <c r="A791" s="869" t="str">
        <f>IF(E791="","","PRINT")</f>
        <v/>
      </c>
      <c r="B791" s="166"/>
      <c r="C791" s="617">
        <f>C764+1</f>
        <v>28</v>
      </c>
      <c r="D791" s="166"/>
      <c r="E791" s="1542"/>
      <c r="F791" s="1543"/>
      <c r="G791" s="1543"/>
      <c r="H791" s="1543"/>
      <c r="I791" s="1543"/>
      <c r="J791" s="1544"/>
      <c r="K791" s="1545" t="str">
        <f>IF(E792="","",INDEX(EUwideConstants!$F$353:$F$394,MATCH(E792,EUConst_TierActivityListNames,0)))</f>
        <v/>
      </c>
      <c r="L791" s="1546"/>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3"/>
      <c r="T791" s="509" t="s">
        <v>393</v>
      </c>
      <c r="U791" s="23"/>
      <c r="V791" s="78"/>
      <c r="W791" s="56"/>
      <c r="X791" s="58"/>
      <c r="Y791" s="58"/>
      <c r="Z791" s="58"/>
      <c r="AA791" s="58"/>
      <c r="AB791" s="58"/>
      <c r="AC791" s="58"/>
      <c r="AD791" s="58"/>
      <c r="AE791" s="58"/>
      <c r="AF791" s="58"/>
      <c r="AG791" s="58"/>
      <c r="AH791" s="58"/>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6"/>
      <c r="BZ791" s="619" t="b">
        <f>CNTR_CalcRelevant=EUconst_NotRelevant</f>
        <v>0</v>
      </c>
    </row>
    <row r="792" spans="1:78" s="142" customFormat="1" ht="15" hidden="1" customHeight="1" thickBot="1">
      <c r="A792" s="808"/>
      <c r="B792" s="166"/>
      <c r="C792" s="166"/>
      <c r="D792" s="166"/>
      <c r="E792" s="1547" t="str">
        <f>IF(ISBLANK(E791),"",IF(INDEX(B_InstallationDescription!$E$71:$E$145,MATCH(U790,B_InstallationDescription!$D$71:$D$145,0))&gt;0,INDEX(B_InstallationDescription!$E$71:$E$145,MATCH(U790,B_InstallationDescription!$D$71:$D$145,0)),""))</f>
        <v/>
      </c>
      <c r="F792" s="1548"/>
      <c r="G792" s="1548"/>
      <c r="H792" s="1548"/>
      <c r="I792" s="1548"/>
      <c r="J792" s="1549"/>
      <c r="M792" s="346" t="str">
        <f>Translations!$B$666</f>
        <v>CO2, biomasės kilmės.:</v>
      </c>
      <c r="N792" s="1051" t="str">
        <f>IF(OR(K791="",T792=TRUE),"",INDEX(BC804:BE804,MATCH(K791,BC801:BE801,0)))</f>
        <v/>
      </c>
      <c r="O792" s="742" t="s">
        <v>260</v>
      </c>
      <c r="P792" s="494"/>
      <c r="Q792" s="352" t="str">
        <f>EUconst_SumBioCO2 &amp; "_" &amp; K791</f>
        <v>SUM_bioCO2_</v>
      </c>
      <c r="R792" s="494"/>
      <c r="S792" s="23"/>
      <c r="T792" s="48" t="str">
        <f>IF(E792="","",MATCH(E792,EUConst_TierActivityListNames,0)&gt;40)</f>
        <v/>
      </c>
      <c r="U792" s="23"/>
      <c r="V792" s="78"/>
      <c r="W792" s="56"/>
      <c r="X792" s="58"/>
      <c r="Y792" s="27" t="s">
        <v>93</v>
      </c>
      <c r="Z792" s="30"/>
      <c r="AA792" s="30"/>
      <c r="AB792" s="30"/>
      <c r="AC792" s="30"/>
      <c r="AD792" s="30"/>
      <c r="AE792" s="27" t="s">
        <v>302</v>
      </c>
      <c r="AF792" s="58"/>
      <c r="AG792" s="504"/>
      <c r="AH792" s="30"/>
      <c r="AI792" s="30"/>
      <c r="AJ792" s="504"/>
      <c r="AK792" s="504"/>
      <c r="AL792" s="342"/>
      <c r="AM792" s="27" t="s">
        <v>308</v>
      </c>
      <c r="AN792" s="505"/>
      <c r="AO792" s="505"/>
      <c r="AP792" s="30"/>
      <c r="AQ792" s="30"/>
      <c r="AR792" s="30"/>
      <c r="AS792" s="30"/>
      <c r="AT792" s="30"/>
      <c r="AU792" s="30"/>
      <c r="AV792" s="27" t="s">
        <v>315</v>
      </c>
      <c r="AW792" s="30"/>
      <c r="AX792" s="492"/>
      <c r="AY792" s="30"/>
      <c r="AZ792" s="30"/>
      <c r="BA792" s="30"/>
      <c r="BB792" s="27" t="s">
        <v>219</v>
      </c>
      <c r="BC792" s="30"/>
      <c r="BD792" s="30"/>
      <c r="BE792" s="30"/>
      <c r="BF792" s="30"/>
      <c r="BG792" s="27"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0"/>
      <c r="BZ792" s="30"/>
    </row>
    <row r="793" spans="1:78" s="142" customFormat="1" ht="4.5" hidden="1" customHeight="1">
      <c r="A793" s="808"/>
      <c r="B793" s="166"/>
      <c r="C793" s="166"/>
      <c r="D793" s="166"/>
      <c r="E793" s="166"/>
      <c r="F793" s="166"/>
      <c r="G793" s="166"/>
      <c r="M793" s="143"/>
      <c r="N793" s="143"/>
      <c r="O793" s="733"/>
      <c r="P793" s="33"/>
      <c r="Q793" s="33"/>
      <c r="R793" s="33"/>
      <c r="S793" s="23"/>
      <c r="T793" s="23"/>
      <c r="U793" s="23"/>
      <c r="V793" s="78"/>
      <c r="W793" s="30"/>
      <c r="X793" s="30"/>
      <c r="Y793" s="494"/>
      <c r="Z793" s="30"/>
      <c r="AA793" s="30"/>
      <c r="AB793" s="30"/>
      <c r="AC793" s="30"/>
      <c r="AD793" s="30"/>
      <c r="AE793" s="30"/>
      <c r="AF793" s="58"/>
      <c r="AG793" s="30"/>
      <c r="AH793" s="30"/>
      <c r="AI793" s="30"/>
      <c r="AJ793" s="504"/>
      <c r="AK793" s="504"/>
      <c r="AL793" s="342"/>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hidden="1" customHeight="1" thickBot="1">
      <c r="A794" s="808"/>
      <c r="B794" s="166"/>
      <c r="C794" s="166"/>
      <c r="D794" s="166"/>
      <c r="E794" s="1550" t="str">
        <f>IF(E791="","",IF(T792=TRUE,HYPERLINK("#JUMP_14",EUconst_MsgGoOnPFC),HYPERLINK("#JUMP_E_8",EUconst_FurtherGuidancePoint1)))</f>
        <v/>
      </c>
      <c r="F794" s="1550"/>
      <c r="G794" s="1550"/>
      <c r="H794" s="1550"/>
      <c r="I794" s="1550"/>
      <c r="J794" s="1550"/>
      <c r="K794" s="1550"/>
      <c r="L794" s="1550"/>
      <c r="M794" s="1550"/>
      <c r="N794" s="143"/>
      <c r="O794" s="733"/>
      <c r="P794" s="33"/>
      <c r="Q794" s="352" t="str">
        <f>EUconst_SumNonSustBioCO2 &amp; "_" &amp; K791</f>
        <v>SUM_bioNonSustCO2_</v>
      </c>
      <c r="R794" s="707"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4"/>
      <c r="AK794" s="504"/>
      <c r="AL794" s="342"/>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4.5" hidden="1" customHeight="1">
      <c r="A795" s="808"/>
      <c r="B795" s="166"/>
      <c r="C795" s="166"/>
      <c r="D795" s="166"/>
      <c r="E795" s="166"/>
      <c r="F795" s="166"/>
      <c r="G795" s="166"/>
      <c r="M795" s="143"/>
      <c r="N795" s="143"/>
      <c r="O795" s="733"/>
      <c r="P795" s="23"/>
      <c r="Q795" s="23"/>
      <c r="R795" s="23"/>
      <c r="S795" s="23"/>
      <c r="T795" s="23"/>
      <c r="U795" s="23"/>
      <c r="V795" s="30"/>
      <c r="W795" s="30"/>
      <c r="X795" s="30"/>
      <c r="Y795" s="494"/>
      <c r="Z795" s="30"/>
      <c r="AA795" s="30"/>
      <c r="AB795" s="30"/>
      <c r="AC795" s="30"/>
      <c r="AD795" s="30"/>
      <c r="AE795" s="30"/>
      <c r="AF795" s="58"/>
      <c r="AG795" s="30"/>
      <c r="AH795" s="30"/>
      <c r="AI795" s="30"/>
      <c r="AJ795" s="504"/>
      <c r="AK795" s="504"/>
      <c r="AL795" s="342"/>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hidden="1" customHeight="1" thickBot="1">
      <c r="A796" s="808"/>
      <c r="B796" s="166"/>
      <c r="C796" s="814" t="s">
        <v>4</v>
      </c>
      <c r="D796" s="512" t="str">
        <f>Translations!$B$622</f>
        <v>VD:</v>
      </c>
      <c r="E796" s="1560" t="str">
        <f>Translations!$B$667</f>
        <v>Ar veiklos duomenys gaunami sudedant išmatuotus kiekius (t. y. ne atliekant nuolatinius matavimus)?</v>
      </c>
      <c r="F796" s="1560"/>
      <c r="G796" s="1560"/>
      <c r="H796" s="1560"/>
      <c r="I796" s="1560"/>
      <c r="J796" s="1560"/>
      <c r="K796" s="1560"/>
      <c r="L796" s="1179"/>
      <c r="M796" s="507"/>
      <c r="O796" s="733"/>
      <c r="P796" s="23"/>
      <c r="Q796" s="23"/>
      <c r="R796" s="23"/>
      <c r="S796" s="23"/>
      <c r="T796" s="23"/>
      <c r="U796" s="23"/>
      <c r="V796" s="30"/>
      <c r="W796" s="30"/>
      <c r="X796" s="30"/>
      <c r="Y796" s="494"/>
      <c r="Z796" s="30"/>
      <c r="AA796" s="30"/>
      <c r="AB796" s="30"/>
      <c r="AC796" s="1172" t="b">
        <f>AND(E791&lt;&gt;"",T792&lt;&gt;TRUE)</f>
        <v>0</v>
      </c>
      <c r="AD796" s="30"/>
      <c r="AE796" s="30"/>
      <c r="AF796" s="58"/>
      <c r="AG796" s="30"/>
      <c r="AH796" s="30"/>
      <c r="AI796" s="30"/>
      <c r="AJ796" s="504"/>
      <c r="AK796" s="504"/>
      <c r="AL796" s="342"/>
      <c r="AM796" s="30"/>
      <c r="AN796" s="30"/>
      <c r="AO796" s="30"/>
      <c r="AP796" s="30"/>
      <c r="AQ796" s="30"/>
      <c r="AR796" s="30"/>
      <c r="AS796" s="30"/>
      <c r="AT796" s="1172"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2" t="b">
        <f>OR(CNTR_CalcRelevant=EUconst_NotRelevant,AND(COUNTA(CNTR_ListRelevantSections)&gt;0,OR(T792=TRUE,E791="")))</f>
        <v>1</v>
      </c>
    </row>
    <row r="797" spans="1:78" s="142" customFormat="1" ht="4.5" hidden="1" customHeight="1">
      <c r="A797" s="808"/>
      <c r="B797" s="166"/>
      <c r="C797" s="166"/>
      <c r="D797" s="166"/>
      <c r="E797" s="166"/>
      <c r="F797" s="166"/>
      <c r="G797" s="166"/>
      <c r="H797" s="495"/>
      <c r="I797" s="495"/>
      <c r="J797" s="495"/>
      <c r="K797" s="495"/>
      <c r="L797" s="495"/>
      <c r="M797" s="507"/>
      <c r="O797" s="733"/>
      <c r="P797" s="23"/>
      <c r="Q797" s="23"/>
      <c r="R797" s="23"/>
      <c r="S797" s="23"/>
      <c r="T797" s="23"/>
      <c r="U797" s="23"/>
      <c r="V797" s="30"/>
      <c r="W797" s="30"/>
      <c r="X797" s="30"/>
      <c r="Y797" s="494"/>
      <c r="Z797" s="30"/>
      <c r="AA797" s="30"/>
      <c r="AB797" s="30"/>
      <c r="AC797" s="492"/>
      <c r="AD797" s="30"/>
      <c r="AE797" s="30"/>
      <c r="AF797" s="58"/>
      <c r="AG797" s="30"/>
      <c r="AH797" s="30"/>
      <c r="AI797" s="30"/>
      <c r="AJ797" s="504"/>
      <c r="AK797" s="504"/>
      <c r="AL797" s="342"/>
      <c r="AM797" s="30"/>
      <c r="AN797" s="30"/>
      <c r="AO797" s="30"/>
      <c r="AP797" s="30"/>
      <c r="AQ797" s="30"/>
      <c r="AR797" s="30"/>
      <c r="AS797" s="30"/>
      <c r="AT797" s="492"/>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2"/>
    </row>
    <row r="798" spans="1:78" s="142" customFormat="1" ht="12.75" hidden="1" customHeight="1" thickBot="1">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3"/>
      <c r="Q798" s="23"/>
      <c r="R798" s="23"/>
      <c r="S798" s="23"/>
      <c r="T798" s="23"/>
      <c r="U798" s="23"/>
      <c r="V798" s="30"/>
      <c r="W798" s="30"/>
      <c r="X798" s="30"/>
      <c r="Y798" s="494"/>
      <c r="Z798" s="30"/>
      <c r="AA798" s="30"/>
      <c r="AB798" s="30"/>
      <c r="AC798" s="1172" t="b">
        <f>AC796</f>
        <v>0</v>
      </c>
      <c r="AD798" s="30"/>
      <c r="AE798" s="30"/>
      <c r="AF798" s="58"/>
      <c r="AG798" s="30"/>
      <c r="AH798" s="30"/>
      <c r="AI798" s="30"/>
      <c r="AJ798" s="504"/>
      <c r="AK798" s="504"/>
      <c r="AL798" s="342"/>
      <c r="AM798" s="30"/>
      <c r="AN798" s="30"/>
      <c r="AO798" s="30"/>
      <c r="AP798" s="30"/>
      <c r="AQ798" s="30"/>
      <c r="AR798" s="30"/>
      <c r="AS798" s="30"/>
      <c r="AT798" s="1172"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2" t="b">
        <f>OR(BZ796,AND(NOT(ISBLANK(L796)),L796=FALSE))</f>
        <v>1</v>
      </c>
    </row>
    <row r="799" spans="1:78" s="142" customFormat="1" ht="4.5" hidden="1" customHeight="1">
      <c r="A799" s="808"/>
      <c r="B799" s="166"/>
      <c r="C799" s="166"/>
      <c r="D799" s="166"/>
      <c r="E799" s="166"/>
      <c r="F799" s="166"/>
      <c r="G799" s="166"/>
      <c r="M799" s="143"/>
      <c r="N799" s="143"/>
      <c r="O799" s="733"/>
      <c r="P799" s="23"/>
      <c r="Q799" s="23"/>
      <c r="R799" s="23"/>
      <c r="S799" s="23"/>
      <c r="T799" s="23"/>
      <c r="U799" s="23"/>
      <c r="V799" s="30"/>
      <c r="W799" s="30"/>
      <c r="X799" s="30"/>
      <c r="Y799" s="494"/>
      <c r="Z799" s="30"/>
      <c r="AA799" s="30"/>
      <c r="AB799" s="30"/>
      <c r="AC799" s="30"/>
      <c r="AD799" s="30"/>
      <c r="AE799" s="30"/>
      <c r="AF799" s="58"/>
      <c r="AG799" s="30"/>
      <c r="AH799" s="30"/>
      <c r="AI799" s="30"/>
      <c r="AJ799" s="504"/>
      <c r="AK799" s="504"/>
      <c r="AL799" s="342"/>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hidden="1" customHeight="1" thickBot="1">
      <c r="A800" s="808"/>
      <c r="B800" s="166"/>
      <c r="C800" s="166"/>
      <c r="D800" s="166"/>
      <c r="E800" s="166"/>
      <c r="F800" s="506" t="str">
        <f>Translations!$B$333</f>
        <v>Pakopa</v>
      </c>
      <c r="G800" s="1557" t="str">
        <f>Translations!$B$672</f>
        <v>pakopos aprašas</v>
      </c>
      <c r="H800" s="1557"/>
      <c r="I800" s="1555" t="str">
        <f>Translations!$B$158</f>
        <v>Vienetas</v>
      </c>
      <c r="J800" s="1555"/>
      <c r="K800" s="1555" t="str">
        <f>Translations!$B$673</f>
        <v>Vertė</v>
      </c>
      <c r="L800" s="1555"/>
      <c r="M800" s="507" t="str">
        <f>Translations!$B$610</f>
        <v>klaida</v>
      </c>
      <c r="O800" s="733"/>
      <c r="P800" s="508"/>
      <c r="Q800" s="352" t="str">
        <f>EUconst_SumEnergyIN &amp; "_" &amp; K791</f>
        <v>SUM_EnergyIN_</v>
      </c>
      <c r="R800" s="399" t="str">
        <f>IF(OR(K791="",T792)=TRUE,"",INDEX(BC806:BE806,MATCH(K791,BC801:BE801,0)))</f>
        <v/>
      </c>
      <c r="S800" s="30"/>
      <c r="T800" s="489"/>
      <c r="U800" s="30"/>
      <c r="V800" s="509" t="s">
        <v>303</v>
      </c>
      <c r="W800" s="30"/>
      <c r="X800" s="30"/>
      <c r="Y800" s="494" t="s">
        <v>566</v>
      </c>
      <c r="Z800" s="494" t="s">
        <v>318</v>
      </c>
      <c r="AA800" s="30"/>
      <c r="AB800" s="30"/>
      <c r="AC800" s="505" t="s">
        <v>309</v>
      </c>
      <c r="AD800" s="30"/>
      <c r="AE800" s="30"/>
      <c r="AF800" s="492" t="s">
        <v>305</v>
      </c>
      <c r="AG800" s="492" t="s">
        <v>306</v>
      </c>
      <c r="AH800" s="494" t="s">
        <v>304</v>
      </c>
      <c r="AI800" s="504" t="s">
        <v>307</v>
      </c>
      <c r="AJ800" s="504" t="s">
        <v>567</v>
      </c>
      <c r="AK800" s="510" t="s">
        <v>311</v>
      </c>
      <c r="AL800" s="342"/>
      <c r="AM800" s="30"/>
      <c r="AN800" s="492" t="s">
        <v>305</v>
      </c>
      <c r="AO800" s="492" t="s">
        <v>306</v>
      </c>
      <c r="AP800" s="511" t="s">
        <v>310</v>
      </c>
      <c r="AQ800" s="504" t="s">
        <v>569</v>
      </c>
      <c r="AR800" s="504" t="s">
        <v>568</v>
      </c>
      <c r="AS800" s="510" t="s">
        <v>609</v>
      </c>
      <c r="AT800" s="510" t="s">
        <v>609</v>
      </c>
      <c r="AU800" s="30"/>
      <c r="AV800" s="492"/>
      <c r="AW800" s="492"/>
      <c r="AX800" s="492" t="s">
        <v>321</v>
      </c>
      <c r="AY800" s="492"/>
      <c r="AZ800" s="492"/>
      <c r="BA800" s="492"/>
      <c r="BB800" s="492"/>
      <c r="BC800" s="492"/>
      <c r="BD800" s="492"/>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3" t="s">
        <v>262</v>
      </c>
    </row>
    <row r="801" spans="1:78" s="142" customFormat="1" ht="12.75" hidden="1" customHeight="1" thickBot="1">
      <c r="A801" s="808"/>
      <c r="B801" s="166"/>
      <c r="C801" s="777" t="s">
        <v>196</v>
      </c>
      <c r="D801" s="512" t="str">
        <f>Translations!$B$622</f>
        <v>VD:</v>
      </c>
      <c r="E801" s="513"/>
      <c r="F801" s="402"/>
      <c r="G801" s="1532" t="str">
        <f>IF(OR(ISBLANK(F801),F801=EUconst_NoTier),"",IF(Z801=0,EUconst_NA,IF(ISERROR(Z801),"",Z801)))</f>
        <v/>
      </c>
      <c r="H801" s="1533"/>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0"/>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0"/>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0"/>
      <c r="AV801" s="492" t="s">
        <v>314</v>
      </c>
      <c r="AW801" s="492" t="s">
        <v>319</v>
      </c>
      <c r="AX801" s="524"/>
      <c r="AY801" s="30" t="s">
        <v>542</v>
      </c>
      <c r="AZ801" s="30"/>
      <c r="BA801" s="30"/>
      <c r="BB801" s="504"/>
      <c r="BC801" s="493" t="str">
        <f>EUconst_Fuel</f>
        <v>Degimas</v>
      </c>
      <c r="BD801" s="493" t="str">
        <f>EUconst_ProcessCarbonate</f>
        <v>Proceso metu išsiskiriančios ŠESD</v>
      </c>
      <c r="BE801" s="493"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4" t="b">
        <f>BZ796</f>
        <v>1</v>
      </c>
    </row>
    <row r="802" spans="1:78" s="142" customFormat="1" ht="4.5" hidden="1" customHeight="1">
      <c r="A802" s="808"/>
      <c r="B802" s="166"/>
      <c r="C802" s="814"/>
      <c r="D802" s="306"/>
      <c r="F802" s="143"/>
      <c r="G802" s="143"/>
      <c r="H802" s="143" t="s">
        <v>236</v>
      </c>
      <c r="I802" s="525"/>
      <c r="J802" s="525"/>
      <c r="K802" s="143"/>
      <c r="L802" s="143"/>
      <c r="M802" s="710"/>
      <c r="O802" s="733"/>
      <c r="P802" s="33"/>
      <c r="Q802" s="33"/>
      <c r="R802" s="33"/>
      <c r="S802" s="30"/>
      <c r="T802" s="155"/>
      <c r="U802" s="497"/>
      <c r="V802" s="30"/>
      <c r="W802" s="30"/>
      <c r="X802" s="497"/>
      <c r="Y802" s="526"/>
      <c r="Z802" s="30"/>
      <c r="AA802" s="30"/>
      <c r="AB802" s="30"/>
      <c r="AC802" s="30"/>
      <c r="AD802" s="30"/>
      <c r="AE802" s="30"/>
      <c r="AF802" s="30"/>
      <c r="AG802" s="30"/>
      <c r="AH802" s="30"/>
      <c r="AI802" s="30"/>
      <c r="AJ802" s="30"/>
      <c r="AK802" s="30"/>
      <c r="AL802" s="342"/>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3"/>
    </row>
    <row r="803" spans="1:78" s="142" customFormat="1" ht="12.75" hidden="1" customHeight="1" thickBot="1">
      <c r="A803" s="808"/>
      <c r="B803" s="166"/>
      <c r="C803" s="814" t="s">
        <v>197</v>
      </c>
      <c r="D803" s="512" t="str">
        <f>Translations!$B$634</f>
        <v>(prelim.) ITF:</v>
      </c>
      <c r="E803" s="513"/>
      <c r="F803" s="527"/>
      <c r="G803" s="1532" t="str">
        <f t="shared" ref="G803:G809" si="189">IF(OR(ISBLANK(F803),F803=EUconst_NoTier),"",IF(Z803=0,EUconst_NotApplicable,IF(ISERROR(Z803),"",Z803)))</f>
        <v/>
      </c>
      <c r="H803" s="1556"/>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3"/>
      <c r="Q803" s="33"/>
      <c r="R803" s="33"/>
      <c r="S803" s="30"/>
      <c r="T803" s="530" t="str">
        <f>EUconst_CNTR_EF&amp;E792</f>
        <v>EF_</v>
      </c>
      <c r="U803" s="497"/>
      <c r="V803" s="531" t="str">
        <f>V801</f>
        <v/>
      </c>
      <c r="W803" s="30"/>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0"/>
      <c r="AC803" s="535" t="b">
        <f>AND(AC801,Y803&lt;&gt;EUconst_NA)</f>
        <v>0</v>
      </c>
      <c r="AD803" s="30"/>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0"/>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0"/>
      <c r="BA803" s="30"/>
      <c r="BB803" s="547" t="s">
        <v>594</v>
      </c>
      <c r="BC803" s="546" t="str">
        <f>IF(K791=BC801,AR801*IF(AJ803=EUconst_tCO2pTJ,(AR804/1000),1)*AR803*AR805*AR809,"")</f>
        <v/>
      </c>
      <c r="BD803" s="524" t="str">
        <f>IF(K791=BD801,AR801*AR803*AR806*AR809,"")</f>
        <v/>
      </c>
      <c r="BE803" s="523"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1" t="b">
        <f>OR(BZ801,Y803=EUconst_NA)</f>
        <v>1</v>
      </c>
    </row>
    <row r="804" spans="1:78" s="142" customFormat="1" ht="12.75" hidden="1" customHeight="1" thickBot="1">
      <c r="A804" s="808"/>
      <c r="B804" s="166"/>
      <c r="C804" s="814" t="s">
        <v>198</v>
      </c>
      <c r="D804" s="512" t="str">
        <f>Translations!$B$636</f>
        <v>GŠV:</v>
      </c>
      <c r="E804" s="513"/>
      <c r="F804" s="548"/>
      <c r="G804" s="1532" t="str">
        <f t="shared" si="189"/>
        <v/>
      </c>
      <c r="H804" s="1533"/>
      <c r="I804" s="1169" t="str">
        <f>AJ804</f>
        <v/>
      </c>
      <c r="J804" s="549"/>
      <c r="K804" s="550" t="str">
        <f t="shared" si="190"/>
        <v/>
      </c>
      <c r="L804" s="551"/>
      <c r="M804" s="709" t="str">
        <f>IF(AND(E792&lt;&gt;"",OR(F804="",COUNT(K804:L804)=0),Y804&lt;&gt;EUconst_NA,T792&lt;&gt;TRUE),EUconst_ERR_Incomplete,IF(COUNTIF(AX804:AZ804,TRUE)&gt;0,EUconst_ERR_Inconsistent,""))</f>
        <v/>
      </c>
      <c r="O804" s="733"/>
      <c r="P804" s="33"/>
      <c r="Q804" s="33"/>
      <c r="R804" s="33"/>
      <c r="S804" s="30"/>
      <c r="T804" s="552" t="str">
        <f>EUconst_CNTR_NCV&amp;E792</f>
        <v>NCV_</v>
      </c>
      <c r="U804" s="497"/>
      <c r="V804" s="553" t="str">
        <f t="shared" ref="V804:V809" si="195">V803</f>
        <v/>
      </c>
      <c r="W804" s="30"/>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0"/>
      <c r="AC804" s="557" t="b">
        <f>AND(AC801,Y804&lt;&gt;EUconst_NA)</f>
        <v>0</v>
      </c>
      <c r="AD804" s="30"/>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0"/>
      <c r="AV804" s="567" t="b">
        <f t="shared" si="192"/>
        <v>0</v>
      </c>
      <c r="AW804" s="568" t="b">
        <f t="shared" si="193"/>
        <v>0</v>
      </c>
      <c r="AX804" s="30"/>
      <c r="AY804" s="553" t="b">
        <f t="shared" si="194"/>
        <v>0</v>
      </c>
      <c r="AZ804" s="30"/>
      <c r="BA804" s="30"/>
      <c r="BB804" s="547" t="s">
        <v>595</v>
      </c>
      <c r="BC804" s="546" t="str">
        <f>IF(K791=BC801,AR801*IF(AJ803=EUconst_tCO2pTJ,(AR804/1000),1)*AR803*AR805*AR808,"")</f>
        <v/>
      </c>
      <c r="BD804" s="524" t="str">
        <f>IF(K791=BD801,AR801*AR803*AR806*AR808,"")</f>
        <v/>
      </c>
      <c r="BE804" s="523"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3" t="b">
        <f>OR(BZ801,Y804=EUconst_NA)</f>
        <v>1</v>
      </c>
    </row>
    <row r="805" spans="1:78" s="142" customFormat="1" ht="12.75" hidden="1" customHeight="1" thickBot="1">
      <c r="A805" s="808"/>
      <c r="B805" s="166"/>
      <c r="C805" s="814" t="s">
        <v>199</v>
      </c>
      <c r="D805" s="512" t="str">
        <f>Translations!$B$638</f>
        <v>OksK:</v>
      </c>
      <c r="E805" s="513"/>
      <c r="F805" s="548"/>
      <c r="G805" s="1532" t="str">
        <f t="shared" si="189"/>
        <v/>
      </c>
      <c r="H805" s="1533"/>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3"/>
      <c r="Q805" s="33"/>
      <c r="R805" s="33"/>
      <c r="S805" s="30"/>
      <c r="T805" s="552" t="str">
        <f>EUconst_CNTR_OxidationFactor&amp;E792</f>
        <v>OxF_</v>
      </c>
      <c r="U805" s="497"/>
      <c r="V805" s="553" t="str">
        <f t="shared" si="195"/>
        <v/>
      </c>
      <c r="W805" s="30"/>
      <c r="X805" s="497"/>
      <c r="Y805" s="554" t="str">
        <f>IF(OR(T792=TRUE,E792=""),"",INDEX(EUwideConstants!$N:$N,MATCH(T805,EUwideConstants!$Q:$Q,0)))</f>
        <v/>
      </c>
      <c r="Z805" s="555" t="str">
        <f>IF(ISBLANK(F805),"",IF(F805=EUconst_NA,"",INDEX(EUwideConstants!$H:$M,MATCH(T805,EUwideConstants!$Q:$Q,0),MATCH(F805,CNTR_TierList,0))))</f>
        <v/>
      </c>
      <c r="AA805" s="534" t="str">
        <f>IF(F805=1,1,"")</f>
        <v/>
      </c>
      <c r="AB805" s="30"/>
      <c r="AC805" s="557" t="b">
        <f>AND(AC801,Y805&lt;&gt;EUconst_NA)</f>
        <v>0</v>
      </c>
      <c r="AD805" s="30"/>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0"/>
      <c r="AV805" s="567" t="b">
        <f t="shared" si="192"/>
        <v>0</v>
      </c>
      <c r="AW805" s="568" t="b">
        <f t="shared" si="193"/>
        <v>0</v>
      </c>
      <c r="AX805" s="30"/>
      <c r="AY805" s="594" t="b">
        <f t="shared" si="194"/>
        <v>0</v>
      </c>
      <c r="AZ805" s="531" t="b">
        <f>AR805&gt;100%</f>
        <v>0</v>
      </c>
      <c r="BA805" s="30"/>
      <c r="BB805" s="547" t="s">
        <v>290</v>
      </c>
      <c r="BC805" s="546" t="str">
        <f>IF(K791=BC801,AR801*IF(AJ803=EUconst_tCO2pTJ,(AR804/1000),1)*AR803*AR805*(1-AR808),"")</f>
        <v/>
      </c>
      <c r="BD805" s="524" t="str">
        <f>IF(K791=BD801,AR801*AR803*AR806*(1-AR808),"")</f>
        <v/>
      </c>
      <c r="BE805" s="523"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3" t="b">
        <f>OR(BZ801,Y805=EUconst_NA)</f>
        <v>1</v>
      </c>
    </row>
    <row r="806" spans="1:78" s="142" customFormat="1" ht="12.75" hidden="1" customHeight="1" thickBot="1">
      <c r="A806" s="808"/>
      <c r="B806" s="166"/>
      <c r="C806" s="814" t="s">
        <v>200</v>
      </c>
      <c r="D806" s="512" t="str">
        <f>Translations!$B$639</f>
        <v>KonvK:</v>
      </c>
      <c r="E806" s="513"/>
      <c r="F806" s="548"/>
      <c r="G806" s="1532" t="str">
        <f t="shared" si="189"/>
        <v/>
      </c>
      <c r="H806" s="1533"/>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3"/>
      <c r="Q806" s="33"/>
      <c r="R806" s="33"/>
      <c r="S806" s="30"/>
      <c r="T806" s="552" t="str">
        <f>EUconst_CNTR_ConversionFactor&amp;E792</f>
        <v>ConvF_</v>
      </c>
      <c r="U806" s="497"/>
      <c r="V806" s="553" t="str">
        <f t="shared" si="195"/>
        <v/>
      </c>
      <c r="W806" s="30"/>
      <c r="X806" s="497"/>
      <c r="Y806" s="554" t="str">
        <f>IF(OR(T792=TRUE,E792=""),"",INDEX(EUwideConstants!$N:$N,MATCH(T806,EUwideConstants!$Q:$Q,0)))</f>
        <v/>
      </c>
      <c r="Z806" s="555" t="str">
        <f>IF(ISBLANK(F806),"",IF(F806=EUconst_NA,"",INDEX(EUwideConstants!$H:$M,MATCH(T806,EUwideConstants!$Q:$Q,0),MATCH(F806,CNTR_TierList,0))))</f>
        <v/>
      </c>
      <c r="AA806" s="582" t="str">
        <f>IF(F806=1,1,"")</f>
        <v/>
      </c>
      <c r="AB806" s="30"/>
      <c r="AC806" s="557" t="b">
        <f>AND(AC801,Y806&lt;&gt;EUconst_NA)</f>
        <v>0</v>
      </c>
      <c r="AD806" s="30"/>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0"/>
      <c r="AV806" s="567" t="b">
        <f t="shared" si="192"/>
        <v>0</v>
      </c>
      <c r="AW806" s="568" t="b">
        <f t="shared" si="193"/>
        <v>0</v>
      </c>
      <c r="AX806" s="30"/>
      <c r="AY806" s="594" t="b">
        <f t="shared" si="194"/>
        <v>0</v>
      </c>
      <c r="AZ806" s="580" t="b">
        <f>AR806&gt;100%</f>
        <v>0</v>
      </c>
      <c r="BA806" s="30"/>
      <c r="BB806" s="578" t="s">
        <v>487</v>
      </c>
      <c r="BC806" s="579">
        <f>AR801*AR804/1000*(1-AR808)</f>
        <v>0</v>
      </c>
      <c r="BD806" s="580">
        <f>BC806</f>
        <v>0</v>
      </c>
      <c r="BE806" s="581">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3" t="b">
        <f>OR(BZ801,Y806=EUconst_NA)</f>
        <v>1</v>
      </c>
    </row>
    <row r="807" spans="1:78" s="142" customFormat="1" ht="12.75" hidden="1" customHeight="1" thickBot="1">
      <c r="A807" s="808"/>
      <c r="B807" s="166"/>
      <c r="C807" s="814" t="s">
        <v>329</v>
      </c>
      <c r="D807" s="512" t="str">
        <f>Translations!$B$640</f>
        <v>AnglK:</v>
      </c>
      <c r="E807" s="513"/>
      <c r="F807" s="548"/>
      <c r="G807" s="1532" t="str">
        <f t="shared" si="189"/>
        <v/>
      </c>
      <c r="H807" s="1533"/>
      <c r="I807" s="1170" t="str">
        <f>AJ807</f>
        <v/>
      </c>
      <c r="J807" s="586"/>
      <c r="K807" s="587" t="str">
        <f t="shared" si="190"/>
        <v/>
      </c>
      <c r="L807" s="588"/>
      <c r="M807" s="709" t="str">
        <f>IF(AND(E792&lt;&gt;"",OR(F807="",COUNT(K807:L807)=0),Y807&lt;&gt;EUconst_NA,T792&lt;&gt;TRUE),EUconst_ERR_Incomplete,IF(COUNTIF(AX807:AZ807,TRUE)&gt;0,EUconst_ERR_Inconsistent,""))</f>
        <v/>
      </c>
      <c r="O807" s="733"/>
      <c r="P807" s="33"/>
      <c r="Q807" s="33"/>
      <c r="R807" s="33"/>
      <c r="S807" s="30"/>
      <c r="T807" s="552" t="str">
        <f>EUconst_CNTR_CarbonContent&amp;E792</f>
        <v>CarbC_</v>
      </c>
      <c r="U807" s="497"/>
      <c r="V807" s="553" t="str">
        <f t="shared" si="195"/>
        <v/>
      </c>
      <c r="W807" s="30"/>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0"/>
      <c r="AC807" s="557" t="b">
        <f>AND(AC801,Y807&lt;&gt;EUconst_NA)</f>
        <v>0</v>
      </c>
      <c r="AD807" s="30"/>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0"/>
      <c r="AV807" s="567" t="b">
        <f t="shared" si="192"/>
        <v>0</v>
      </c>
      <c r="AW807" s="568" t="b">
        <f t="shared" si="193"/>
        <v>0</v>
      </c>
      <c r="AX807" s="546" t="b">
        <f>OR(AND(AJ801=EUconst_kNm3,AJ807=EUconst_tCpt),AND(AJ801=EUconst_t,AJ807=EUconst_tCpkNm3))</f>
        <v>0</v>
      </c>
      <c r="AY807" s="553" t="b">
        <f t="shared" si="194"/>
        <v>0</v>
      </c>
      <c r="AZ807" s="30"/>
      <c r="BA807" s="30"/>
      <c r="BB807" s="578" t="s">
        <v>488</v>
      </c>
      <c r="BC807" s="579">
        <f>AR801*AR804/1000*AR808</f>
        <v>0</v>
      </c>
      <c r="BD807" s="580">
        <f>BC807</f>
        <v>0</v>
      </c>
      <c r="BE807" s="581">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3" t="b">
        <f>OR(BZ801,Y807=EUconst_NA)</f>
        <v>1</v>
      </c>
    </row>
    <row r="808" spans="1:78" s="142" customFormat="1" ht="12.75" hidden="1" customHeight="1">
      <c r="A808" s="808"/>
      <c r="B808" s="166"/>
      <c r="C808" s="777" t="s">
        <v>330</v>
      </c>
      <c r="D808" s="512" t="str">
        <f>Translations!$B$641</f>
        <v>BioC:</v>
      </c>
      <c r="E808" s="513"/>
      <c r="F808" s="548"/>
      <c r="G808" s="1532" t="str">
        <f t="shared" si="189"/>
        <v/>
      </c>
      <c r="H808" s="1533"/>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0"/>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0"/>
      <c r="AC808" s="557" t="b">
        <f>AND(AC801,Y808&lt;&gt;EUconst_NA)</f>
        <v>0</v>
      </c>
      <c r="AD808" s="30"/>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0"/>
      <c r="AV808" s="567" t="b">
        <f t="shared" si="192"/>
        <v>0</v>
      </c>
      <c r="AW808" s="568" t="b">
        <f t="shared" si="193"/>
        <v>0</v>
      </c>
      <c r="AX808" s="30"/>
      <c r="AY808" s="594" t="b">
        <f t="shared" si="194"/>
        <v>0</v>
      </c>
      <c r="AZ808" s="531"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3" t="b">
        <f>OR(BZ801,Y808=EUconst_NA)</f>
        <v>1</v>
      </c>
    </row>
    <row r="809" spans="1:78" s="142" customFormat="1" ht="12.75" hidden="1" customHeight="1" thickBot="1">
      <c r="A809" s="808"/>
      <c r="B809" s="166"/>
      <c r="C809" s="777" t="s">
        <v>454</v>
      </c>
      <c r="D809" s="512" t="str">
        <f>Translations!$B$647</f>
        <v>Netvar. BioC:</v>
      </c>
      <c r="E809" s="513"/>
      <c r="F809" s="597"/>
      <c r="G809" s="1532" t="str">
        <f t="shared" si="189"/>
        <v/>
      </c>
      <c r="H809" s="1533"/>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0"/>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0"/>
      <c r="AC809" s="603" t="b">
        <f>AND(AC801,Y809&lt;&gt;EUconst_NA)</f>
        <v>0</v>
      </c>
      <c r="AD809" s="30"/>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0"/>
      <c r="AV809" s="613" t="b">
        <f t="shared" si="192"/>
        <v>0</v>
      </c>
      <c r="AW809" s="614" t="b">
        <f t="shared" si="193"/>
        <v>0</v>
      </c>
      <c r="AX809" s="30"/>
      <c r="AY809" s="579" t="b">
        <f t="shared" si="194"/>
        <v>0</v>
      </c>
      <c r="AZ809" s="580"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80" t="b">
        <f>OR(BZ801,Y809=EUconst_NA)</f>
        <v>1</v>
      </c>
    </row>
    <row r="810" spans="1:78" s="142" customFormat="1" ht="4.5" hidden="1" customHeight="1">
      <c r="A810" s="808"/>
      <c r="B810" s="166"/>
      <c r="C810" s="166"/>
      <c r="D810" s="180"/>
      <c r="O810" s="733"/>
      <c r="P810" s="33"/>
      <c r="Q810" s="33"/>
      <c r="R810" s="33"/>
      <c r="S810" s="174"/>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hidden="1" customHeight="1">
      <c r="A811" s="808"/>
      <c r="B811" s="166"/>
      <c r="C811" s="166"/>
      <c r="D811" s="1558" t="str">
        <f>Translations!$B$674</f>
        <v>Pakopos galioja nuo:</v>
      </c>
      <c r="E811" s="1558"/>
      <c r="F811" s="1559"/>
      <c r="G811" s="1052"/>
      <c r="H811" s="615" t="str">
        <f>Translations!$B$675</f>
        <v>iki:</v>
      </c>
      <c r="I811" s="1052"/>
      <c r="J811" s="1536" t="str">
        <f>Translations!$B$676</f>
        <v>Atliekų katalogo numeris (jeigu taikytina):</v>
      </c>
      <c r="K811" s="1537"/>
      <c r="L811" s="1537"/>
      <c r="M811" s="1538"/>
      <c r="N811" s="1289"/>
      <c r="O811" s="733"/>
      <c r="P811" s="33"/>
      <c r="Q811" s="33"/>
      <c r="R811" s="33"/>
      <c r="S811" s="1290"/>
      <c r="T811" s="492"/>
      <c r="U811" s="492"/>
      <c r="V811" s="48" t="b">
        <f>IF(V801="",FALSE,INDEX(CNTR_IsWaste,MATCH(V801,MSParameters!$A$218:$A$376,0)))</f>
        <v>0</v>
      </c>
      <c r="W811" s="1290"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hidden="1" customHeight="1">
      <c r="A812" s="808"/>
      <c r="B812" s="166"/>
      <c r="C812" s="166"/>
      <c r="D812" s="615"/>
      <c r="E812" s="495"/>
      <c r="F812" s="495"/>
      <c r="G812" s="495"/>
      <c r="H812" s="495"/>
      <c r="I812" s="495"/>
      <c r="J812" s="495"/>
      <c r="K812" s="495"/>
      <c r="L812" s="495"/>
      <c r="M812" s="495"/>
      <c r="N812" s="495"/>
      <c r="O812" s="733"/>
      <c r="P812" s="33"/>
      <c r="Q812" s="33"/>
      <c r="R812" s="33"/>
      <c r="S812" s="174"/>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hidden="1" customHeight="1">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3"/>
      <c r="Q813" s="33"/>
      <c r="R813" s="33"/>
      <c r="S813" s="174"/>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hidden="1" customHeight="1">
      <c r="A814" s="815"/>
      <c r="D814" s="180"/>
      <c r="O814" s="573"/>
      <c r="P814" s="497"/>
      <c r="Q814" s="497"/>
      <c r="R814" s="497"/>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hidden="1">
      <c r="A815" s="815"/>
      <c r="D815" s="1534" t="str">
        <f>Translations!$B$160</f>
        <v>Pastabos:</v>
      </c>
      <c r="E815" s="1535"/>
      <c r="F815" s="1539"/>
      <c r="G815" s="1540"/>
      <c r="H815" s="1540"/>
      <c r="I815" s="1540"/>
      <c r="J815" s="1540"/>
      <c r="K815" s="1540"/>
      <c r="L815" s="1540"/>
      <c r="M815" s="1540"/>
      <c r="N815" s="1541"/>
      <c r="O815" s="573"/>
      <c r="P815" s="497"/>
      <c r="Q815" s="497"/>
      <c r="R815" s="497"/>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c r="A816" s="808"/>
      <c r="B816" s="495"/>
      <c r="C816" s="499"/>
      <c r="D816" s="500"/>
      <c r="E816" s="501"/>
      <c r="F816" s="499"/>
      <c r="G816" s="502"/>
      <c r="H816" s="502"/>
      <c r="I816" s="502"/>
      <c r="J816" s="502"/>
      <c r="K816" s="502"/>
      <c r="L816" s="502"/>
      <c r="M816" s="502"/>
      <c r="N816" s="502"/>
      <c r="O816" s="740"/>
      <c r="P816" s="494"/>
      <c r="Q816" s="494"/>
      <c r="R816" s="494"/>
      <c r="S816" s="58"/>
      <c r="T816" s="58"/>
      <c r="U816" s="498"/>
      <c r="V816" s="58"/>
      <c r="W816" s="58"/>
      <c r="X816" s="49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c r="A817" s="813"/>
      <c r="B817" s="495"/>
      <c r="C817" s="495"/>
      <c r="D817" s="180"/>
      <c r="E817" s="496"/>
      <c r="F817" s="495"/>
      <c r="G817" s="487"/>
      <c r="H817" s="487"/>
      <c r="I817" s="487"/>
      <c r="J817" s="487"/>
      <c r="K817" s="495"/>
      <c r="L817" s="487"/>
      <c r="M817" s="487"/>
      <c r="N817" s="487"/>
      <c r="O817" s="740"/>
      <c r="P817" s="494"/>
      <c r="Q817" s="494"/>
      <c r="R817" s="494"/>
      <c r="S817" s="23"/>
      <c r="T817" s="27" t="str">
        <f>IF(ISBLANK(E818),"",MATCH(E818,CNTR_SourceStreamNames,0))</f>
        <v/>
      </c>
      <c r="U817" s="618"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1"/>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3" t="s">
        <v>262</v>
      </c>
    </row>
    <row r="818" spans="1:78" s="142" customFormat="1" ht="15" hidden="1" customHeight="1" thickBot="1">
      <c r="A818" s="869" t="str">
        <f>IF(E818="","","PRINT")</f>
        <v/>
      </c>
      <c r="B818" s="166"/>
      <c r="C818" s="617">
        <f>C791+1</f>
        <v>29</v>
      </c>
      <c r="D818" s="166"/>
      <c r="E818" s="1542"/>
      <c r="F818" s="1543"/>
      <c r="G818" s="1543"/>
      <c r="H818" s="1543"/>
      <c r="I818" s="1543"/>
      <c r="J818" s="1544"/>
      <c r="K818" s="1545" t="str">
        <f>IF(E819="","",INDEX(EUwideConstants!$F$353:$F$394,MATCH(E819,EUConst_TierActivityListNames,0)))</f>
        <v/>
      </c>
      <c r="L818" s="1546"/>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3"/>
      <c r="T818" s="509" t="s">
        <v>393</v>
      </c>
      <c r="U818" s="23"/>
      <c r="V818" s="78"/>
      <c r="W818" s="56"/>
      <c r="X818" s="58"/>
      <c r="Y818" s="58"/>
      <c r="Z818" s="58"/>
      <c r="AA818" s="58"/>
      <c r="AB818" s="58"/>
      <c r="AC818" s="58"/>
      <c r="AD818" s="58"/>
      <c r="AE818" s="58"/>
      <c r="AF818" s="58"/>
      <c r="AG818" s="58"/>
      <c r="AH818" s="58"/>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6"/>
      <c r="BZ818" s="619" t="b">
        <f>CNTR_CalcRelevant=EUconst_NotRelevant</f>
        <v>0</v>
      </c>
    </row>
    <row r="819" spans="1:78" s="142" customFormat="1" ht="15" hidden="1" customHeight="1" thickBot="1">
      <c r="A819" s="808"/>
      <c r="B819" s="166"/>
      <c r="C819" s="166"/>
      <c r="D819" s="166"/>
      <c r="E819" s="1547" t="str">
        <f>IF(ISBLANK(E818),"",IF(INDEX(B_InstallationDescription!$E$71:$E$145,MATCH(U817,B_InstallationDescription!$D$71:$D$145,0))&gt;0,INDEX(B_InstallationDescription!$E$71:$E$145,MATCH(U817,B_InstallationDescription!$D$71:$D$145,0)),""))</f>
        <v/>
      </c>
      <c r="F819" s="1548"/>
      <c r="G819" s="1548"/>
      <c r="H819" s="1548"/>
      <c r="I819" s="1548"/>
      <c r="J819" s="1549"/>
      <c r="M819" s="346" t="str">
        <f>Translations!$B$666</f>
        <v>CO2, biomasės kilmės.:</v>
      </c>
      <c r="N819" s="1051" t="str">
        <f>IF(OR(K818="",T819=TRUE),"",INDEX(BC831:BE831,MATCH(K818,BC828:BE828,0)))</f>
        <v/>
      </c>
      <c r="O819" s="742" t="s">
        <v>260</v>
      </c>
      <c r="P819" s="494"/>
      <c r="Q819" s="352" t="str">
        <f>EUconst_SumBioCO2 &amp; "_" &amp; K818</f>
        <v>SUM_bioCO2_</v>
      </c>
      <c r="R819" s="494"/>
      <c r="S819" s="23"/>
      <c r="T819" s="48" t="str">
        <f>IF(E819="","",MATCH(E819,EUConst_TierActivityListNames,0)&gt;40)</f>
        <v/>
      </c>
      <c r="U819" s="23"/>
      <c r="V819" s="78"/>
      <c r="W819" s="56"/>
      <c r="X819" s="58"/>
      <c r="Y819" s="27" t="s">
        <v>93</v>
      </c>
      <c r="Z819" s="30"/>
      <c r="AA819" s="30"/>
      <c r="AB819" s="30"/>
      <c r="AC819" s="30"/>
      <c r="AD819" s="30"/>
      <c r="AE819" s="27" t="s">
        <v>302</v>
      </c>
      <c r="AF819" s="58"/>
      <c r="AG819" s="504"/>
      <c r="AH819" s="30"/>
      <c r="AI819" s="30"/>
      <c r="AJ819" s="504"/>
      <c r="AK819" s="504"/>
      <c r="AL819" s="342"/>
      <c r="AM819" s="27" t="s">
        <v>308</v>
      </c>
      <c r="AN819" s="505"/>
      <c r="AO819" s="505"/>
      <c r="AP819" s="30"/>
      <c r="AQ819" s="30"/>
      <c r="AR819" s="30"/>
      <c r="AS819" s="30"/>
      <c r="AT819" s="30"/>
      <c r="AU819" s="30"/>
      <c r="AV819" s="27" t="s">
        <v>315</v>
      </c>
      <c r="AW819" s="30"/>
      <c r="AX819" s="492"/>
      <c r="AY819" s="30"/>
      <c r="AZ819" s="30"/>
      <c r="BA819" s="30"/>
      <c r="BB819" s="27" t="s">
        <v>219</v>
      </c>
      <c r="BC819" s="30"/>
      <c r="BD819" s="30"/>
      <c r="BE819" s="30"/>
      <c r="BF819" s="30"/>
      <c r="BG819" s="27"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0"/>
      <c r="BZ819" s="30"/>
    </row>
    <row r="820" spans="1:78" s="142" customFormat="1" ht="5.0999999999999996" hidden="1" customHeight="1">
      <c r="A820" s="808"/>
      <c r="B820" s="166"/>
      <c r="C820" s="166"/>
      <c r="D820" s="166"/>
      <c r="E820" s="166"/>
      <c r="F820" s="166"/>
      <c r="G820" s="166"/>
      <c r="M820" s="143"/>
      <c r="N820" s="143"/>
      <c r="O820" s="733"/>
      <c r="P820" s="33"/>
      <c r="Q820" s="33"/>
      <c r="R820" s="33"/>
      <c r="S820" s="23"/>
      <c r="T820" s="23"/>
      <c r="U820" s="23"/>
      <c r="V820" s="78"/>
      <c r="W820" s="30"/>
      <c r="X820" s="30"/>
      <c r="Y820" s="494"/>
      <c r="Z820" s="30"/>
      <c r="AA820" s="30"/>
      <c r="AB820" s="30"/>
      <c r="AC820" s="30"/>
      <c r="AD820" s="30"/>
      <c r="AE820" s="30"/>
      <c r="AF820" s="58"/>
      <c r="AG820" s="30"/>
      <c r="AH820" s="30"/>
      <c r="AI820" s="30"/>
      <c r="AJ820" s="504"/>
      <c r="AK820" s="504"/>
      <c r="AL820" s="342"/>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hidden="1" customHeight="1" thickBot="1">
      <c r="A821" s="808"/>
      <c r="B821" s="166"/>
      <c r="C821" s="166"/>
      <c r="D821" s="166"/>
      <c r="E821" s="1550" t="str">
        <f>IF(E818="","",IF(T819=TRUE,HYPERLINK("#JUMP_14",EUconst_MsgGoOnPFC),HYPERLINK("#JUMP_E_8",EUconst_FurtherGuidancePoint1)))</f>
        <v/>
      </c>
      <c r="F821" s="1550"/>
      <c r="G821" s="1550"/>
      <c r="H821" s="1550"/>
      <c r="I821" s="1550"/>
      <c r="J821" s="1550"/>
      <c r="K821" s="1550"/>
      <c r="L821" s="1550"/>
      <c r="M821" s="1550"/>
      <c r="N821" s="143"/>
      <c r="O821" s="733"/>
      <c r="P821" s="33"/>
      <c r="Q821" s="352" t="str">
        <f>EUconst_SumNonSustBioCO2 &amp; "_" &amp; K818</f>
        <v>SUM_bioNonSustCO2_</v>
      </c>
      <c r="R821" s="707"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4"/>
      <c r="AK821" s="504"/>
      <c r="AL821" s="342"/>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4.5" hidden="1" customHeight="1">
      <c r="A822" s="808"/>
      <c r="B822" s="166"/>
      <c r="C822" s="166"/>
      <c r="D822" s="166"/>
      <c r="E822" s="166"/>
      <c r="F822" s="166"/>
      <c r="G822" s="166"/>
      <c r="M822" s="143"/>
      <c r="N822" s="143"/>
      <c r="O822" s="733"/>
      <c r="P822" s="23"/>
      <c r="Q822" s="23"/>
      <c r="R822" s="23"/>
      <c r="S822" s="23"/>
      <c r="T822" s="23"/>
      <c r="U822" s="23"/>
      <c r="V822" s="30"/>
      <c r="W822" s="30"/>
      <c r="X822" s="30"/>
      <c r="Y822" s="494"/>
      <c r="Z822" s="30"/>
      <c r="AA822" s="30"/>
      <c r="AB822" s="30"/>
      <c r="AC822" s="30"/>
      <c r="AD822" s="30"/>
      <c r="AE822" s="30"/>
      <c r="AF822" s="58"/>
      <c r="AG822" s="30"/>
      <c r="AH822" s="30"/>
      <c r="AI822" s="30"/>
      <c r="AJ822" s="504"/>
      <c r="AK822" s="504"/>
      <c r="AL822" s="342"/>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hidden="1" customHeight="1" thickBot="1">
      <c r="A823" s="808"/>
      <c r="B823" s="166"/>
      <c r="C823" s="814" t="s">
        <v>4</v>
      </c>
      <c r="D823" s="512" t="str">
        <f>Translations!$B$622</f>
        <v>VD:</v>
      </c>
      <c r="E823" s="1560" t="str">
        <f>Translations!$B$667</f>
        <v>Ar veiklos duomenys gaunami sudedant išmatuotus kiekius (t. y. ne atliekant nuolatinius matavimus)?</v>
      </c>
      <c r="F823" s="1560"/>
      <c r="G823" s="1560"/>
      <c r="H823" s="1560"/>
      <c r="I823" s="1560"/>
      <c r="J823" s="1560"/>
      <c r="K823" s="1560"/>
      <c r="L823" s="1179"/>
      <c r="M823" s="507"/>
      <c r="O823" s="733"/>
      <c r="P823" s="23"/>
      <c r="Q823" s="23"/>
      <c r="R823" s="23"/>
      <c r="S823" s="23"/>
      <c r="T823" s="23"/>
      <c r="U823" s="23"/>
      <c r="V823" s="30"/>
      <c r="W823" s="30"/>
      <c r="X823" s="30"/>
      <c r="Y823" s="494"/>
      <c r="Z823" s="30"/>
      <c r="AA823" s="30"/>
      <c r="AB823" s="30"/>
      <c r="AC823" s="1172" t="b">
        <f>AND(E818&lt;&gt;"",T819&lt;&gt;TRUE)</f>
        <v>0</v>
      </c>
      <c r="AD823" s="30"/>
      <c r="AE823" s="30"/>
      <c r="AF823" s="58"/>
      <c r="AG823" s="30"/>
      <c r="AH823" s="30"/>
      <c r="AI823" s="30"/>
      <c r="AJ823" s="504"/>
      <c r="AK823" s="504"/>
      <c r="AL823" s="342"/>
      <c r="AM823" s="30"/>
      <c r="AN823" s="30"/>
      <c r="AO823" s="30"/>
      <c r="AP823" s="30"/>
      <c r="AQ823" s="30"/>
      <c r="AR823" s="30"/>
      <c r="AS823" s="30"/>
      <c r="AT823" s="1172"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2" t="b">
        <f>OR(CNTR_CalcRelevant=EUconst_NotRelevant,AND(COUNTA(CNTR_ListRelevantSections)&gt;0,OR(T819=TRUE,E818="")))</f>
        <v>1</v>
      </c>
    </row>
    <row r="824" spans="1:78" s="142" customFormat="1" ht="4.5" hidden="1" customHeight="1">
      <c r="A824" s="808"/>
      <c r="B824" s="166"/>
      <c r="C824" s="166"/>
      <c r="D824" s="166"/>
      <c r="E824" s="166"/>
      <c r="F824" s="166"/>
      <c r="G824" s="166"/>
      <c r="H824" s="495"/>
      <c r="I824" s="495"/>
      <c r="J824" s="495"/>
      <c r="K824" s="495"/>
      <c r="L824" s="495"/>
      <c r="M824" s="507"/>
      <c r="O824" s="733"/>
      <c r="P824" s="23"/>
      <c r="Q824" s="23"/>
      <c r="R824" s="23"/>
      <c r="S824" s="23"/>
      <c r="T824" s="23"/>
      <c r="U824" s="23"/>
      <c r="V824" s="30"/>
      <c r="W824" s="30"/>
      <c r="X824" s="30"/>
      <c r="Y824" s="494"/>
      <c r="Z824" s="30"/>
      <c r="AA824" s="30"/>
      <c r="AB824" s="30"/>
      <c r="AC824" s="492"/>
      <c r="AD824" s="30"/>
      <c r="AE824" s="30"/>
      <c r="AF824" s="58"/>
      <c r="AG824" s="30"/>
      <c r="AH824" s="30"/>
      <c r="AI824" s="30"/>
      <c r="AJ824" s="504"/>
      <c r="AK824" s="504"/>
      <c r="AL824" s="342"/>
      <c r="AM824" s="30"/>
      <c r="AN824" s="30"/>
      <c r="AO824" s="30"/>
      <c r="AP824" s="30"/>
      <c r="AQ824" s="30"/>
      <c r="AR824" s="30"/>
      <c r="AS824" s="30"/>
      <c r="AT824" s="492"/>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2"/>
    </row>
    <row r="825" spans="1:78" s="142" customFormat="1" ht="12.75" hidden="1" customHeight="1" thickBot="1">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3"/>
      <c r="Q825" s="23"/>
      <c r="R825" s="23"/>
      <c r="S825" s="23"/>
      <c r="T825" s="23"/>
      <c r="U825" s="23"/>
      <c r="V825" s="30"/>
      <c r="W825" s="30"/>
      <c r="X825" s="30"/>
      <c r="Y825" s="494"/>
      <c r="Z825" s="30"/>
      <c r="AA825" s="30"/>
      <c r="AB825" s="30"/>
      <c r="AC825" s="1172" t="b">
        <f>AC823</f>
        <v>0</v>
      </c>
      <c r="AD825" s="30"/>
      <c r="AE825" s="30"/>
      <c r="AF825" s="58"/>
      <c r="AG825" s="30"/>
      <c r="AH825" s="30"/>
      <c r="AI825" s="30"/>
      <c r="AJ825" s="504"/>
      <c r="AK825" s="504"/>
      <c r="AL825" s="342"/>
      <c r="AM825" s="30"/>
      <c r="AN825" s="30"/>
      <c r="AO825" s="30"/>
      <c r="AP825" s="30"/>
      <c r="AQ825" s="30"/>
      <c r="AR825" s="30"/>
      <c r="AS825" s="30"/>
      <c r="AT825" s="1172"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2" t="b">
        <f>OR(BZ823,AND(NOT(ISBLANK(L823)),L823=FALSE))</f>
        <v>1</v>
      </c>
    </row>
    <row r="826" spans="1:78" s="142" customFormat="1" ht="4.5" hidden="1" customHeight="1">
      <c r="A826" s="808"/>
      <c r="B826" s="166"/>
      <c r="C826" s="166"/>
      <c r="D826" s="166"/>
      <c r="E826" s="166"/>
      <c r="F826" s="166"/>
      <c r="G826" s="166"/>
      <c r="M826" s="143"/>
      <c r="N826" s="143"/>
      <c r="O826" s="733"/>
      <c r="P826" s="23"/>
      <c r="Q826" s="23"/>
      <c r="R826" s="23"/>
      <c r="S826" s="23"/>
      <c r="T826" s="23"/>
      <c r="U826" s="23"/>
      <c r="V826" s="30"/>
      <c r="W826" s="30"/>
      <c r="X826" s="30"/>
      <c r="Y826" s="494"/>
      <c r="Z826" s="30"/>
      <c r="AA826" s="30"/>
      <c r="AB826" s="30"/>
      <c r="AC826" s="30"/>
      <c r="AD826" s="30"/>
      <c r="AE826" s="30"/>
      <c r="AF826" s="58"/>
      <c r="AG826" s="30"/>
      <c r="AH826" s="30"/>
      <c r="AI826" s="30"/>
      <c r="AJ826" s="504"/>
      <c r="AK826" s="504"/>
      <c r="AL826" s="342"/>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hidden="1" customHeight="1" thickBot="1">
      <c r="A827" s="808"/>
      <c r="B827" s="166"/>
      <c r="C827" s="166"/>
      <c r="D827" s="166"/>
      <c r="E827" s="166"/>
      <c r="F827" s="506" t="str">
        <f>Translations!$B$333</f>
        <v>Pakopa</v>
      </c>
      <c r="G827" s="1557" t="str">
        <f>Translations!$B$672</f>
        <v>pakopos aprašas</v>
      </c>
      <c r="H827" s="1557"/>
      <c r="I827" s="1555" t="str">
        <f>Translations!$B$158</f>
        <v>Vienetas</v>
      </c>
      <c r="J827" s="1555"/>
      <c r="K827" s="1555" t="str">
        <f>Translations!$B$673</f>
        <v>Vertė</v>
      </c>
      <c r="L827" s="1555"/>
      <c r="M827" s="507" t="str">
        <f>Translations!$B$610</f>
        <v>klaida</v>
      </c>
      <c r="O827" s="733"/>
      <c r="P827" s="508"/>
      <c r="Q827" s="352" t="str">
        <f>EUconst_SumEnergyIN &amp; "_" &amp; K818</f>
        <v>SUM_EnergyIN_</v>
      </c>
      <c r="R827" s="399" t="str">
        <f>IF(OR(K818="",T819)=TRUE,"",INDEX(BC833:BE833,MATCH(K818,BC828:BE828,0)))</f>
        <v/>
      </c>
      <c r="S827" s="30"/>
      <c r="T827" s="489"/>
      <c r="U827" s="30"/>
      <c r="V827" s="509" t="s">
        <v>303</v>
      </c>
      <c r="W827" s="30"/>
      <c r="X827" s="30"/>
      <c r="Y827" s="494" t="s">
        <v>566</v>
      </c>
      <c r="Z827" s="494" t="s">
        <v>318</v>
      </c>
      <c r="AA827" s="30"/>
      <c r="AB827" s="30"/>
      <c r="AC827" s="505" t="s">
        <v>309</v>
      </c>
      <c r="AD827" s="30"/>
      <c r="AE827" s="30"/>
      <c r="AF827" s="492" t="s">
        <v>305</v>
      </c>
      <c r="AG827" s="492" t="s">
        <v>306</v>
      </c>
      <c r="AH827" s="494" t="s">
        <v>304</v>
      </c>
      <c r="AI827" s="504" t="s">
        <v>307</v>
      </c>
      <c r="AJ827" s="504" t="s">
        <v>567</v>
      </c>
      <c r="AK827" s="510" t="s">
        <v>311</v>
      </c>
      <c r="AL827" s="342"/>
      <c r="AM827" s="30"/>
      <c r="AN827" s="492" t="s">
        <v>305</v>
      </c>
      <c r="AO827" s="492" t="s">
        <v>306</v>
      </c>
      <c r="AP827" s="511" t="s">
        <v>310</v>
      </c>
      <c r="AQ827" s="504" t="s">
        <v>569</v>
      </c>
      <c r="AR827" s="504" t="s">
        <v>568</v>
      </c>
      <c r="AS827" s="510" t="s">
        <v>609</v>
      </c>
      <c r="AT827" s="510" t="s">
        <v>609</v>
      </c>
      <c r="AU827" s="30"/>
      <c r="AV827" s="492"/>
      <c r="AW827" s="492"/>
      <c r="AX827" s="492" t="s">
        <v>321</v>
      </c>
      <c r="AY827" s="492"/>
      <c r="AZ827" s="492"/>
      <c r="BA827" s="492"/>
      <c r="BB827" s="492"/>
      <c r="BC827" s="492"/>
      <c r="BD827" s="492"/>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3" t="s">
        <v>262</v>
      </c>
    </row>
    <row r="828" spans="1:78" s="142" customFormat="1" ht="12.75" hidden="1" customHeight="1" thickBot="1">
      <c r="A828" s="808"/>
      <c r="B828" s="166"/>
      <c r="C828" s="777" t="s">
        <v>196</v>
      </c>
      <c r="D828" s="512" t="str">
        <f>Translations!$B$622</f>
        <v>VD:</v>
      </c>
      <c r="E828" s="513"/>
      <c r="F828" s="402"/>
      <c r="G828" s="1532" t="str">
        <f>IF(OR(ISBLANK(F828),F828=EUconst_NoTier),"",IF(Z828=0,EUconst_NA,IF(ISERROR(Z828),"",Z828)))</f>
        <v/>
      </c>
      <c r="H828" s="1533"/>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0"/>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0"/>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0"/>
      <c r="AV828" s="492" t="s">
        <v>314</v>
      </c>
      <c r="AW828" s="492" t="s">
        <v>319</v>
      </c>
      <c r="AX828" s="524"/>
      <c r="AY828" s="30" t="s">
        <v>542</v>
      </c>
      <c r="AZ828" s="30"/>
      <c r="BA828" s="30"/>
      <c r="BB828" s="504"/>
      <c r="BC828" s="493" t="str">
        <f>EUconst_Fuel</f>
        <v>Degimas</v>
      </c>
      <c r="BD828" s="493" t="str">
        <f>EUconst_ProcessCarbonate</f>
        <v>Proceso metu išsiskiriančios ŠESD</v>
      </c>
      <c r="BE828" s="493"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4" t="b">
        <f>BZ823</f>
        <v>1</v>
      </c>
    </row>
    <row r="829" spans="1:78" s="142" customFormat="1" ht="5.0999999999999996" hidden="1" customHeight="1">
      <c r="A829" s="808"/>
      <c r="B829" s="166"/>
      <c r="C829" s="814"/>
      <c r="D829" s="306"/>
      <c r="F829" s="143"/>
      <c r="G829" s="143"/>
      <c r="H829" s="143" t="s">
        <v>236</v>
      </c>
      <c r="I829" s="525"/>
      <c r="J829" s="525"/>
      <c r="K829" s="143"/>
      <c r="L829" s="143"/>
      <c r="M829" s="710"/>
      <c r="O829" s="733"/>
      <c r="P829" s="33"/>
      <c r="Q829" s="33"/>
      <c r="R829" s="33"/>
      <c r="S829" s="30"/>
      <c r="T829" s="155"/>
      <c r="U829" s="497"/>
      <c r="V829" s="30"/>
      <c r="W829" s="30"/>
      <c r="X829" s="497"/>
      <c r="Y829" s="526"/>
      <c r="Z829" s="30"/>
      <c r="AA829" s="30"/>
      <c r="AB829" s="30"/>
      <c r="AC829" s="30"/>
      <c r="AD829" s="30"/>
      <c r="AE829" s="30"/>
      <c r="AF829" s="30"/>
      <c r="AG829" s="30"/>
      <c r="AH829" s="30"/>
      <c r="AI829" s="30"/>
      <c r="AJ829" s="30"/>
      <c r="AK829" s="30"/>
      <c r="AL829" s="342"/>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3"/>
    </row>
    <row r="830" spans="1:78" s="142" customFormat="1" ht="12.75" hidden="1" customHeight="1" thickBot="1">
      <c r="A830" s="808"/>
      <c r="B830" s="166"/>
      <c r="C830" s="814" t="s">
        <v>197</v>
      </c>
      <c r="D830" s="512" t="str">
        <f>Translations!$B$634</f>
        <v>(prelim.) ITF:</v>
      </c>
      <c r="E830" s="513"/>
      <c r="F830" s="527"/>
      <c r="G830" s="1532" t="str">
        <f t="shared" ref="G830:G836" si="196">IF(OR(ISBLANK(F830),F830=EUconst_NoTier),"",IF(Z830=0,EUconst_NotApplicable,IF(ISERROR(Z830),"",Z830)))</f>
        <v/>
      </c>
      <c r="H830" s="1556"/>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3"/>
      <c r="Q830" s="33"/>
      <c r="R830" s="33"/>
      <c r="S830" s="30"/>
      <c r="T830" s="530" t="str">
        <f>EUconst_CNTR_EF&amp;E819</f>
        <v>EF_</v>
      </c>
      <c r="U830" s="497"/>
      <c r="V830" s="531" t="str">
        <f>V828</f>
        <v/>
      </c>
      <c r="W830" s="30"/>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0"/>
      <c r="AC830" s="535" t="b">
        <f>AND(AC828,Y830&lt;&gt;EUconst_NA)</f>
        <v>0</v>
      </c>
      <c r="AD830" s="30"/>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0"/>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0"/>
      <c r="BA830" s="30"/>
      <c r="BB830" s="547" t="s">
        <v>594</v>
      </c>
      <c r="BC830" s="546" t="str">
        <f>IF(K818=BC828,AR828*IF(AJ830=EUconst_tCO2pTJ,(AR831/1000),1)*AR830*AR832*AR836,"")</f>
        <v/>
      </c>
      <c r="BD830" s="524" t="str">
        <f>IF(K818=BD828,AR828*AR830*AR833*AR836,"")</f>
        <v/>
      </c>
      <c r="BE830" s="523"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1" t="b">
        <f>OR(BZ828,Y830=EUconst_NA)</f>
        <v>1</v>
      </c>
    </row>
    <row r="831" spans="1:78" s="142" customFormat="1" ht="12.75" hidden="1" customHeight="1" thickBot="1">
      <c r="A831" s="808"/>
      <c r="B831" s="166"/>
      <c r="C831" s="814" t="s">
        <v>198</v>
      </c>
      <c r="D831" s="512" t="str">
        <f>Translations!$B$636</f>
        <v>GŠV:</v>
      </c>
      <c r="E831" s="513"/>
      <c r="F831" s="548"/>
      <c r="G831" s="1532" t="str">
        <f t="shared" si="196"/>
        <v/>
      </c>
      <c r="H831" s="1533"/>
      <c r="I831" s="1169" t="str">
        <f>AJ831</f>
        <v/>
      </c>
      <c r="J831" s="549"/>
      <c r="K831" s="550" t="str">
        <f t="shared" si="197"/>
        <v/>
      </c>
      <c r="L831" s="551"/>
      <c r="M831" s="709" t="str">
        <f>IF(AND(E819&lt;&gt;"",OR(F831="",COUNT(K831:L831)=0),Y831&lt;&gt;EUconst_NA,T819&lt;&gt;TRUE),EUconst_ERR_Incomplete,IF(COUNTIF(AX831:AZ831,TRUE)&gt;0,EUconst_ERR_Inconsistent,""))</f>
        <v/>
      </c>
      <c r="O831" s="733"/>
      <c r="P831" s="33"/>
      <c r="Q831" s="33"/>
      <c r="R831" s="33"/>
      <c r="S831" s="30"/>
      <c r="T831" s="552" t="str">
        <f>EUconst_CNTR_NCV&amp;E819</f>
        <v>NCV_</v>
      </c>
      <c r="U831" s="497"/>
      <c r="V831" s="553" t="str">
        <f t="shared" ref="V831:V836" si="202">V830</f>
        <v/>
      </c>
      <c r="W831" s="30"/>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0"/>
      <c r="AC831" s="557" t="b">
        <f>AND(AC828,Y831&lt;&gt;EUconst_NA)</f>
        <v>0</v>
      </c>
      <c r="AD831" s="30"/>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0"/>
      <c r="AV831" s="567" t="b">
        <f t="shared" si="199"/>
        <v>0</v>
      </c>
      <c r="AW831" s="568" t="b">
        <f t="shared" si="200"/>
        <v>0</v>
      </c>
      <c r="AX831" s="30"/>
      <c r="AY831" s="553" t="b">
        <f t="shared" si="201"/>
        <v>0</v>
      </c>
      <c r="AZ831" s="30"/>
      <c r="BA831" s="30"/>
      <c r="BB831" s="547" t="s">
        <v>595</v>
      </c>
      <c r="BC831" s="546" t="str">
        <f>IF(K818=BC828,AR828*IF(AJ830=EUconst_tCO2pTJ,(AR831/1000),1)*AR830*AR832*AR835,"")</f>
        <v/>
      </c>
      <c r="BD831" s="524" t="str">
        <f>IF(K818=BD828,AR828*AR830*AR833*AR835,"")</f>
        <v/>
      </c>
      <c r="BE831" s="523"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3" t="b">
        <f>OR(BZ828,Y831=EUconst_NA)</f>
        <v>1</v>
      </c>
    </row>
    <row r="832" spans="1:78" s="142" customFormat="1" ht="12.75" hidden="1" customHeight="1" thickBot="1">
      <c r="A832" s="808"/>
      <c r="B832" s="166"/>
      <c r="C832" s="814" t="s">
        <v>199</v>
      </c>
      <c r="D832" s="512" t="str">
        <f>Translations!$B$638</f>
        <v>OksK:</v>
      </c>
      <c r="E832" s="513"/>
      <c r="F832" s="548"/>
      <c r="G832" s="1532" t="str">
        <f t="shared" si="196"/>
        <v/>
      </c>
      <c r="H832" s="1533"/>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3"/>
      <c r="Q832" s="33"/>
      <c r="R832" s="33"/>
      <c r="S832" s="30"/>
      <c r="T832" s="552" t="str">
        <f>EUconst_CNTR_OxidationFactor&amp;E819</f>
        <v>OxF_</v>
      </c>
      <c r="U832" s="497"/>
      <c r="V832" s="553" t="str">
        <f t="shared" si="202"/>
        <v/>
      </c>
      <c r="W832" s="30"/>
      <c r="X832" s="497"/>
      <c r="Y832" s="554" t="str">
        <f>IF(OR(T819=TRUE,E819=""),"",INDEX(EUwideConstants!$N:$N,MATCH(T832,EUwideConstants!$Q:$Q,0)))</f>
        <v/>
      </c>
      <c r="Z832" s="555" t="str">
        <f>IF(ISBLANK(F832),"",IF(F832=EUconst_NA,"",INDEX(EUwideConstants!$H:$M,MATCH(T832,EUwideConstants!$Q:$Q,0),MATCH(F832,CNTR_TierList,0))))</f>
        <v/>
      </c>
      <c r="AA832" s="534" t="str">
        <f>IF(F832=1,1,"")</f>
        <v/>
      </c>
      <c r="AB832" s="30"/>
      <c r="AC832" s="557" t="b">
        <f>AND(AC828,Y832&lt;&gt;EUconst_NA)</f>
        <v>0</v>
      </c>
      <c r="AD832" s="30"/>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0"/>
      <c r="AV832" s="567" t="b">
        <f t="shared" si="199"/>
        <v>0</v>
      </c>
      <c r="AW832" s="568" t="b">
        <f t="shared" si="200"/>
        <v>0</v>
      </c>
      <c r="AX832" s="30"/>
      <c r="AY832" s="594" t="b">
        <f t="shared" si="201"/>
        <v>0</v>
      </c>
      <c r="AZ832" s="531" t="b">
        <f>AR832&gt;100%</f>
        <v>0</v>
      </c>
      <c r="BA832" s="30"/>
      <c r="BB832" s="547" t="s">
        <v>290</v>
      </c>
      <c r="BC832" s="546" t="str">
        <f>IF(K818=BC828,AR828*IF(AJ830=EUconst_tCO2pTJ,(AR831/1000),1)*AR830*AR832*(1-AR835),"")</f>
        <v/>
      </c>
      <c r="BD832" s="524" t="str">
        <f>IF(K818=BD828,AR828*AR830*AR833*(1-AR835),"")</f>
        <v/>
      </c>
      <c r="BE832" s="523"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3" t="b">
        <f>OR(BZ828,Y832=EUconst_NA)</f>
        <v>1</v>
      </c>
    </row>
    <row r="833" spans="1:78" s="142" customFormat="1" ht="12.75" hidden="1" customHeight="1" thickBot="1">
      <c r="A833" s="808"/>
      <c r="B833" s="166"/>
      <c r="C833" s="814" t="s">
        <v>200</v>
      </c>
      <c r="D833" s="512" t="str">
        <f>Translations!$B$639</f>
        <v>KonvK:</v>
      </c>
      <c r="E833" s="513"/>
      <c r="F833" s="548"/>
      <c r="G833" s="1532" t="str">
        <f t="shared" si="196"/>
        <v/>
      </c>
      <c r="H833" s="1533"/>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3"/>
      <c r="Q833" s="33"/>
      <c r="R833" s="33"/>
      <c r="S833" s="30"/>
      <c r="T833" s="552" t="str">
        <f>EUconst_CNTR_ConversionFactor&amp;E819</f>
        <v>ConvF_</v>
      </c>
      <c r="U833" s="497"/>
      <c r="V833" s="553" t="str">
        <f t="shared" si="202"/>
        <v/>
      </c>
      <c r="W833" s="30"/>
      <c r="X833" s="497"/>
      <c r="Y833" s="554" t="str">
        <f>IF(OR(T819=TRUE,E819=""),"",INDEX(EUwideConstants!$N:$N,MATCH(T833,EUwideConstants!$Q:$Q,0)))</f>
        <v/>
      </c>
      <c r="Z833" s="555" t="str">
        <f>IF(ISBLANK(F833),"",IF(F833=EUconst_NA,"",INDEX(EUwideConstants!$H:$M,MATCH(T833,EUwideConstants!$Q:$Q,0),MATCH(F833,CNTR_TierList,0))))</f>
        <v/>
      </c>
      <c r="AA833" s="582" t="str">
        <f>IF(F833=1,1,"")</f>
        <v/>
      </c>
      <c r="AB833" s="30"/>
      <c r="AC833" s="557" t="b">
        <f>AND(AC828,Y833&lt;&gt;EUconst_NA)</f>
        <v>0</v>
      </c>
      <c r="AD833" s="30"/>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0"/>
      <c r="AV833" s="567" t="b">
        <f t="shared" si="199"/>
        <v>0</v>
      </c>
      <c r="AW833" s="568" t="b">
        <f t="shared" si="200"/>
        <v>0</v>
      </c>
      <c r="AX833" s="30"/>
      <c r="AY833" s="594" t="b">
        <f t="shared" si="201"/>
        <v>0</v>
      </c>
      <c r="AZ833" s="580" t="b">
        <f>AR833&gt;100%</f>
        <v>0</v>
      </c>
      <c r="BA833" s="30"/>
      <c r="BB833" s="578" t="s">
        <v>487</v>
      </c>
      <c r="BC833" s="579">
        <f>AR828*AR831/1000*(1-AR835)</f>
        <v>0</v>
      </c>
      <c r="BD833" s="580">
        <f>BC833</f>
        <v>0</v>
      </c>
      <c r="BE833" s="581">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3" t="b">
        <f>OR(BZ828,Y833=EUconst_NA)</f>
        <v>1</v>
      </c>
    </row>
    <row r="834" spans="1:78" s="142" customFormat="1" ht="12.75" hidden="1" customHeight="1" thickBot="1">
      <c r="A834" s="808"/>
      <c r="B834" s="166"/>
      <c r="C834" s="814" t="s">
        <v>329</v>
      </c>
      <c r="D834" s="512" t="str">
        <f>Translations!$B$640</f>
        <v>AnglK:</v>
      </c>
      <c r="E834" s="513"/>
      <c r="F834" s="548"/>
      <c r="G834" s="1532" t="str">
        <f t="shared" si="196"/>
        <v/>
      </c>
      <c r="H834" s="1533"/>
      <c r="I834" s="1170" t="str">
        <f>AJ834</f>
        <v/>
      </c>
      <c r="J834" s="586"/>
      <c r="K834" s="587" t="str">
        <f t="shared" si="197"/>
        <v/>
      </c>
      <c r="L834" s="588"/>
      <c r="M834" s="709" t="str">
        <f>IF(AND(E819&lt;&gt;"",OR(F834="",COUNT(K834:L834)=0),Y834&lt;&gt;EUconst_NA,T819&lt;&gt;TRUE),EUconst_ERR_Incomplete,IF(COUNTIF(AX834:AZ834,TRUE)&gt;0,EUconst_ERR_Inconsistent,""))</f>
        <v/>
      </c>
      <c r="O834" s="733"/>
      <c r="P834" s="33"/>
      <c r="Q834" s="33"/>
      <c r="R834" s="33"/>
      <c r="S834" s="30"/>
      <c r="T834" s="552" t="str">
        <f>EUconst_CNTR_CarbonContent&amp;E819</f>
        <v>CarbC_</v>
      </c>
      <c r="U834" s="497"/>
      <c r="V834" s="553" t="str">
        <f t="shared" si="202"/>
        <v/>
      </c>
      <c r="W834" s="30"/>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0"/>
      <c r="AC834" s="557" t="b">
        <f>AND(AC828,Y834&lt;&gt;EUconst_NA)</f>
        <v>0</v>
      </c>
      <c r="AD834" s="30"/>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0"/>
      <c r="AV834" s="567" t="b">
        <f t="shared" si="199"/>
        <v>0</v>
      </c>
      <c r="AW834" s="568" t="b">
        <f t="shared" si="200"/>
        <v>0</v>
      </c>
      <c r="AX834" s="546" t="b">
        <f>OR(AND(AJ828=EUconst_kNm3,AJ834=EUconst_tCpt),AND(AJ828=EUconst_t,AJ834=EUconst_tCpkNm3))</f>
        <v>0</v>
      </c>
      <c r="AY834" s="553" t="b">
        <f t="shared" si="201"/>
        <v>0</v>
      </c>
      <c r="AZ834" s="30"/>
      <c r="BA834" s="30"/>
      <c r="BB834" s="578" t="s">
        <v>488</v>
      </c>
      <c r="BC834" s="579">
        <f>AR828*AR831/1000*AR835</f>
        <v>0</v>
      </c>
      <c r="BD834" s="580">
        <f>BC834</f>
        <v>0</v>
      </c>
      <c r="BE834" s="581">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3" t="b">
        <f>OR(BZ828,Y834=EUconst_NA)</f>
        <v>1</v>
      </c>
    </row>
    <row r="835" spans="1:78" s="142" customFormat="1" ht="12.75" hidden="1" customHeight="1">
      <c r="A835" s="808"/>
      <c r="B835" s="166"/>
      <c r="C835" s="777" t="s">
        <v>330</v>
      </c>
      <c r="D835" s="512" t="str">
        <f>Translations!$B$641</f>
        <v>BioC:</v>
      </c>
      <c r="E835" s="513"/>
      <c r="F835" s="548"/>
      <c r="G835" s="1532" t="str">
        <f t="shared" si="196"/>
        <v/>
      </c>
      <c r="H835" s="1533"/>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0"/>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0"/>
      <c r="AC835" s="557" t="b">
        <f>AND(AC828,Y835&lt;&gt;EUconst_NA)</f>
        <v>0</v>
      </c>
      <c r="AD835" s="30"/>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0"/>
      <c r="AV835" s="567" t="b">
        <f t="shared" si="199"/>
        <v>0</v>
      </c>
      <c r="AW835" s="568" t="b">
        <f t="shared" si="200"/>
        <v>0</v>
      </c>
      <c r="AX835" s="30"/>
      <c r="AY835" s="594" t="b">
        <f t="shared" si="201"/>
        <v>0</v>
      </c>
      <c r="AZ835" s="531"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3" t="b">
        <f>OR(BZ828,Y835=EUconst_NA)</f>
        <v>1</v>
      </c>
    </row>
    <row r="836" spans="1:78" s="142" customFormat="1" ht="12.75" hidden="1" customHeight="1" thickBot="1">
      <c r="A836" s="808"/>
      <c r="B836" s="166"/>
      <c r="C836" s="777" t="s">
        <v>454</v>
      </c>
      <c r="D836" s="512" t="str">
        <f>Translations!$B$647</f>
        <v>Netvar. BioC:</v>
      </c>
      <c r="E836" s="513"/>
      <c r="F836" s="597"/>
      <c r="G836" s="1532" t="str">
        <f t="shared" si="196"/>
        <v/>
      </c>
      <c r="H836" s="1533"/>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0"/>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0"/>
      <c r="AC836" s="603" t="b">
        <f>AND(AC828,Y836&lt;&gt;EUconst_NA)</f>
        <v>0</v>
      </c>
      <c r="AD836" s="30"/>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0"/>
      <c r="AV836" s="613" t="b">
        <f t="shared" si="199"/>
        <v>0</v>
      </c>
      <c r="AW836" s="614" t="b">
        <f t="shared" si="200"/>
        <v>0</v>
      </c>
      <c r="AX836" s="30"/>
      <c r="AY836" s="579" t="b">
        <f t="shared" si="201"/>
        <v>0</v>
      </c>
      <c r="AZ836" s="580"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80" t="b">
        <f>OR(BZ828,Y836=EUconst_NA)</f>
        <v>1</v>
      </c>
    </row>
    <row r="837" spans="1:78" s="142" customFormat="1" ht="4.5" hidden="1" customHeight="1">
      <c r="A837" s="808"/>
      <c r="B837" s="166"/>
      <c r="C837" s="166"/>
      <c r="D837" s="180"/>
      <c r="O837" s="733"/>
      <c r="P837" s="33"/>
      <c r="Q837" s="33"/>
      <c r="R837" s="33"/>
      <c r="S837" s="174"/>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hidden="1" customHeight="1">
      <c r="A838" s="808"/>
      <c r="B838" s="166"/>
      <c r="C838" s="166"/>
      <c r="D838" s="1558" t="str">
        <f>Translations!$B$674</f>
        <v>Pakopos galioja nuo:</v>
      </c>
      <c r="E838" s="1558"/>
      <c r="F838" s="1559"/>
      <c r="G838" s="1052"/>
      <c r="H838" s="615" t="str">
        <f>Translations!$B$675</f>
        <v>iki:</v>
      </c>
      <c r="I838" s="1052"/>
      <c r="J838" s="1536" t="str">
        <f>Translations!$B$676</f>
        <v>Atliekų katalogo numeris (jeigu taikytina):</v>
      </c>
      <c r="K838" s="1537"/>
      <c r="L838" s="1537"/>
      <c r="M838" s="1538"/>
      <c r="N838" s="1289"/>
      <c r="O838" s="733"/>
      <c r="P838" s="33"/>
      <c r="Q838" s="33"/>
      <c r="R838" s="33"/>
      <c r="S838" s="1290"/>
      <c r="T838" s="492"/>
      <c r="U838" s="492"/>
      <c r="V838" s="48" t="b">
        <f>IF(V828="",FALSE,INDEX(CNTR_IsWaste,MATCH(V828,MSParameters!$A$218:$A$376,0)))</f>
        <v>0</v>
      </c>
      <c r="W838" s="1290"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4.5" hidden="1" customHeight="1">
      <c r="A839" s="808"/>
      <c r="B839" s="166"/>
      <c r="C839" s="166"/>
      <c r="D839" s="615"/>
      <c r="E839" s="495"/>
      <c r="F839" s="495"/>
      <c r="G839" s="495"/>
      <c r="H839" s="495"/>
      <c r="I839" s="495"/>
      <c r="J839" s="495"/>
      <c r="K839" s="495"/>
      <c r="L839" s="495"/>
      <c r="M839" s="495"/>
      <c r="N839" s="495"/>
      <c r="O839" s="733"/>
      <c r="P839" s="33"/>
      <c r="Q839" s="33"/>
      <c r="R839" s="33"/>
      <c r="S839" s="174"/>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hidden="1" customHeight="1">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3"/>
      <c r="Q840" s="33"/>
      <c r="R840" s="33"/>
      <c r="S840" s="174"/>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hidden="1" customHeight="1">
      <c r="A841" s="815"/>
      <c r="D841" s="180"/>
      <c r="O841" s="573"/>
      <c r="P841" s="497"/>
      <c r="Q841" s="497"/>
      <c r="R841" s="497"/>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hidden="1">
      <c r="A842" s="815"/>
      <c r="D842" s="1534" t="str">
        <f>Translations!$B$160</f>
        <v>Pastabos:</v>
      </c>
      <c r="E842" s="1535"/>
      <c r="F842" s="1539"/>
      <c r="G842" s="1540"/>
      <c r="H842" s="1540"/>
      <c r="I842" s="1540"/>
      <c r="J842" s="1540"/>
      <c r="K842" s="1540"/>
      <c r="L842" s="1540"/>
      <c r="M842" s="1540"/>
      <c r="N842" s="1541"/>
      <c r="O842" s="573"/>
      <c r="P842" s="497"/>
      <c r="Q842" s="497"/>
      <c r="R842" s="497"/>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c r="A843" s="808"/>
      <c r="B843" s="495"/>
      <c r="C843" s="499"/>
      <c r="D843" s="500"/>
      <c r="E843" s="501"/>
      <c r="F843" s="499"/>
      <c r="G843" s="502"/>
      <c r="H843" s="502"/>
      <c r="I843" s="502"/>
      <c r="J843" s="502"/>
      <c r="K843" s="502"/>
      <c r="L843" s="502"/>
      <c r="M843" s="502"/>
      <c r="N843" s="502"/>
      <c r="O843" s="740"/>
      <c r="P843" s="494"/>
      <c r="Q843" s="494"/>
      <c r="R843" s="494"/>
      <c r="S843" s="58"/>
      <c r="T843" s="58"/>
      <c r="U843" s="498"/>
      <c r="V843" s="58"/>
      <c r="W843" s="58"/>
      <c r="X843" s="49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c r="A844" s="813"/>
      <c r="B844" s="495"/>
      <c r="C844" s="495"/>
      <c r="D844" s="180"/>
      <c r="E844" s="496"/>
      <c r="F844" s="495"/>
      <c r="G844" s="487"/>
      <c r="H844" s="487"/>
      <c r="I844" s="487"/>
      <c r="J844" s="487"/>
      <c r="K844" s="495"/>
      <c r="L844" s="487"/>
      <c r="M844" s="487"/>
      <c r="N844" s="487"/>
      <c r="O844" s="740"/>
      <c r="P844" s="494"/>
      <c r="Q844" s="494"/>
      <c r="R844" s="494"/>
      <c r="S844" s="23"/>
      <c r="T844" s="27" t="str">
        <f>IF(ISBLANK(E845),"",MATCH(E845,CNTR_SourceStreamNames,0))</f>
        <v/>
      </c>
      <c r="U844" s="618"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1"/>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3" t="s">
        <v>262</v>
      </c>
    </row>
    <row r="845" spans="1:78" s="142" customFormat="1" ht="15" hidden="1" customHeight="1" thickBot="1">
      <c r="A845" s="869" t="str">
        <f>IF(E845="","","PRINT")</f>
        <v/>
      </c>
      <c r="B845" s="166"/>
      <c r="C845" s="617">
        <f>C818+1</f>
        <v>30</v>
      </c>
      <c r="D845" s="166"/>
      <c r="E845" s="1542"/>
      <c r="F845" s="1543"/>
      <c r="G845" s="1543"/>
      <c r="H845" s="1543"/>
      <c r="I845" s="1543"/>
      <c r="J845" s="1544"/>
      <c r="K845" s="1545" t="str">
        <f>IF(E846="","",INDEX(EUwideConstants!$F$353:$F$394,MATCH(E846,EUConst_TierActivityListNames,0)))</f>
        <v/>
      </c>
      <c r="L845" s="1546"/>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3"/>
      <c r="T845" s="509" t="s">
        <v>393</v>
      </c>
      <c r="U845" s="23"/>
      <c r="V845" s="78"/>
      <c r="W845" s="56"/>
      <c r="X845" s="58"/>
      <c r="Y845" s="58"/>
      <c r="Z845" s="58"/>
      <c r="AA845" s="58"/>
      <c r="AB845" s="58"/>
      <c r="AC845" s="58"/>
      <c r="AD845" s="58"/>
      <c r="AE845" s="58"/>
      <c r="AF845" s="58"/>
      <c r="AG845" s="58"/>
      <c r="AH845" s="58"/>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6"/>
      <c r="BZ845" s="619" t="b">
        <f>CNTR_CalcRelevant=EUconst_NotRelevant</f>
        <v>0</v>
      </c>
    </row>
    <row r="846" spans="1:78" s="142" customFormat="1" ht="15" hidden="1" customHeight="1" thickBot="1">
      <c r="A846" s="808"/>
      <c r="B846" s="166"/>
      <c r="C846" s="166"/>
      <c r="D846" s="166"/>
      <c r="E846" s="1547" t="str">
        <f>IF(ISBLANK(E845),"",IF(INDEX(B_InstallationDescription!$E$71:$E$145,MATCH(U844,B_InstallationDescription!$D$71:$D$145,0))&gt;0,INDEX(B_InstallationDescription!$E$71:$E$145,MATCH(U844,B_InstallationDescription!$D$71:$D$145,0)),""))</f>
        <v/>
      </c>
      <c r="F846" s="1548"/>
      <c r="G846" s="1548"/>
      <c r="H846" s="1548"/>
      <c r="I846" s="1548"/>
      <c r="J846" s="1549"/>
      <c r="M846" s="346" t="str">
        <f>Translations!$B$666</f>
        <v>CO2, biomasės kilmės.:</v>
      </c>
      <c r="N846" s="1051" t="str">
        <f>IF(OR(K845="",T846=TRUE),"",INDEX(BC858:BE858,MATCH(K845,BC855:BE855,0)))</f>
        <v/>
      </c>
      <c r="O846" s="742" t="s">
        <v>260</v>
      </c>
      <c r="P846" s="494"/>
      <c r="Q846" s="352" t="str">
        <f>EUconst_SumBioCO2 &amp; "_" &amp; K845</f>
        <v>SUM_bioCO2_</v>
      </c>
      <c r="R846" s="494"/>
      <c r="S846" s="23"/>
      <c r="T846" s="48" t="str">
        <f>IF(E846="","",MATCH(E846,EUConst_TierActivityListNames,0)&gt;40)</f>
        <v/>
      </c>
      <c r="U846" s="23"/>
      <c r="V846" s="78"/>
      <c r="W846" s="56"/>
      <c r="X846" s="58"/>
      <c r="Y846" s="27" t="s">
        <v>93</v>
      </c>
      <c r="Z846" s="30"/>
      <c r="AA846" s="30"/>
      <c r="AB846" s="30"/>
      <c r="AC846" s="30"/>
      <c r="AD846" s="30"/>
      <c r="AE846" s="27" t="s">
        <v>302</v>
      </c>
      <c r="AF846" s="58"/>
      <c r="AG846" s="504"/>
      <c r="AH846" s="30"/>
      <c r="AI846" s="30"/>
      <c r="AJ846" s="504"/>
      <c r="AK846" s="504"/>
      <c r="AL846" s="342"/>
      <c r="AM846" s="27" t="s">
        <v>308</v>
      </c>
      <c r="AN846" s="505"/>
      <c r="AO846" s="505"/>
      <c r="AP846" s="30"/>
      <c r="AQ846" s="30"/>
      <c r="AR846" s="30"/>
      <c r="AS846" s="30"/>
      <c r="AT846" s="30"/>
      <c r="AU846" s="30"/>
      <c r="AV846" s="27" t="s">
        <v>315</v>
      </c>
      <c r="AW846" s="30"/>
      <c r="AX846" s="492"/>
      <c r="AY846" s="30"/>
      <c r="AZ846" s="30"/>
      <c r="BA846" s="30"/>
      <c r="BB846" s="27" t="s">
        <v>219</v>
      </c>
      <c r="BC846" s="30"/>
      <c r="BD846" s="30"/>
      <c r="BE846" s="30"/>
      <c r="BF846" s="30"/>
      <c r="BG846" s="27"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0"/>
      <c r="BZ846" s="30"/>
    </row>
    <row r="847" spans="1:78" s="142" customFormat="1" ht="5.0999999999999996" hidden="1" customHeight="1">
      <c r="A847" s="808"/>
      <c r="B847" s="166"/>
      <c r="C847" s="166"/>
      <c r="D847" s="166"/>
      <c r="E847" s="166"/>
      <c r="F847" s="166"/>
      <c r="G847" s="166"/>
      <c r="M847" s="143"/>
      <c r="N847" s="143"/>
      <c r="O847" s="733"/>
      <c r="P847" s="33"/>
      <c r="Q847" s="33"/>
      <c r="R847" s="33"/>
      <c r="S847" s="23"/>
      <c r="T847" s="23"/>
      <c r="U847" s="23"/>
      <c r="V847" s="78"/>
      <c r="W847" s="30"/>
      <c r="X847" s="30"/>
      <c r="Y847" s="494"/>
      <c r="Z847" s="30"/>
      <c r="AA847" s="30"/>
      <c r="AB847" s="30"/>
      <c r="AC847" s="30"/>
      <c r="AD847" s="30"/>
      <c r="AE847" s="30"/>
      <c r="AF847" s="58"/>
      <c r="AG847" s="30"/>
      <c r="AH847" s="30"/>
      <c r="AI847" s="30"/>
      <c r="AJ847" s="504"/>
      <c r="AK847" s="504"/>
      <c r="AL847" s="342"/>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hidden="1" customHeight="1" thickBot="1">
      <c r="A848" s="808"/>
      <c r="B848" s="166"/>
      <c r="C848" s="166"/>
      <c r="D848" s="166"/>
      <c r="E848" s="1550" t="str">
        <f>IF(E845="","",IF(T846=TRUE,HYPERLINK("#JUMP_14",EUconst_MsgGoOnPFC),HYPERLINK("#JUMP_E_8",EUconst_FurtherGuidancePoint1)))</f>
        <v/>
      </c>
      <c r="F848" s="1550"/>
      <c r="G848" s="1550"/>
      <c r="H848" s="1550"/>
      <c r="I848" s="1550"/>
      <c r="J848" s="1550"/>
      <c r="K848" s="1550"/>
      <c r="L848" s="1550"/>
      <c r="M848" s="1550"/>
      <c r="N848" s="143"/>
      <c r="O848" s="733"/>
      <c r="P848" s="33"/>
      <c r="Q848" s="352" t="str">
        <f>EUconst_SumNonSustBioCO2 &amp; "_" &amp; K845</f>
        <v>SUM_bioNonSustCO2_</v>
      </c>
      <c r="R848" s="707"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4"/>
      <c r="AK848" s="504"/>
      <c r="AL848" s="342"/>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hidden="1" customHeight="1">
      <c r="A849" s="808"/>
      <c r="B849" s="166"/>
      <c r="C849" s="166"/>
      <c r="D849" s="166"/>
      <c r="E849" s="166"/>
      <c r="F849" s="166"/>
      <c r="G849" s="166"/>
      <c r="M849" s="143"/>
      <c r="N849" s="143"/>
      <c r="O849" s="733"/>
      <c r="P849" s="23"/>
      <c r="Q849" s="23"/>
      <c r="R849" s="23"/>
      <c r="S849" s="23"/>
      <c r="T849" s="23"/>
      <c r="U849" s="23"/>
      <c r="V849" s="30"/>
      <c r="W849" s="30"/>
      <c r="X849" s="30"/>
      <c r="Y849" s="494"/>
      <c r="Z849" s="30"/>
      <c r="AA849" s="30"/>
      <c r="AB849" s="30"/>
      <c r="AC849" s="30"/>
      <c r="AD849" s="30"/>
      <c r="AE849" s="30"/>
      <c r="AF849" s="58"/>
      <c r="AG849" s="30"/>
      <c r="AH849" s="30"/>
      <c r="AI849" s="30"/>
      <c r="AJ849" s="504"/>
      <c r="AK849" s="504"/>
      <c r="AL849" s="342"/>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hidden="1" customHeight="1" thickBot="1">
      <c r="A850" s="808"/>
      <c r="B850" s="166"/>
      <c r="C850" s="814" t="s">
        <v>4</v>
      </c>
      <c r="D850" s="512" t="str">
        <f>Translations!$B$622</f>
        <v>VD:</v>
      </c>
      <c r="E850" s="1560" t="str">
        <f>Translations!$B$667</f>
        <v>Ar veiklos duomenys gaunami sudedant išmatuotus kiekius (t. y. ne atliekant nuolatinius matavimus)?</v>
      </c>
      <c r="F850" s="1560"/>
      <c r="G850" s="1560"/>
      <c r="H850" s="1560"/>
      <c r="I850" s="1560"/>
      <c r="J850" s="1560"/>
      <c r="K850" s="1560"/>
      <c r="L850" s="1179"/>
      <c r="M850" s="507"/>
      <c r="O850" s="733"/>
      <c r="P850" s="23"/>
      <c r="Q850" s="23"/>
      <c r="R850" s="23"/>
      <c r="S850" s="23"/>
      <c r="T850" s="23"/>
      <c r="U850" s="23"/>
      <c r="V850" s="30"/>
      <c r="W850" s="30"/>
      <c r="X850" s="30"/>
      <c r="Y850" s="494"/>
      <c r="Z850" s="30"/>
      <c r="AA850" s="30"/>
      <c r="AB850" s="30"/>
      <c r="AC850" s="1172" t="b">
        <f>AND(E845&lt;&gt;"",T846&lt;&gt;TRUE)</f>
        <v>0</v>
      </c>
      <c r="AD850" s="30"/>
      <c r="AE850" s="30"/>
      <c r="AF850" s="58"/>
      <c r="AG850" s="30"/>
      <c r="AH850" s="30"/>
      <c r="AI850" s="30"/>
      <c r="AJ850" s="504"/>
      <c r="AK850" s="504"/>
      <c r="AL850" s="342"/>
      <c r="AM850" s="30"/>
      <c r="AN850" s="30"/>
      <c r="AO850" s="30"/>
      <c r="AP850" s="30"/>
      <c r="AQ850" s="30"/>
      <c r="AR850" s="30"/>
      <c r="AS850" s="30"/>
      <c r="AT850" s="1172"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2" t="b">
        <f>OR(CNTR_CalcRelevant=EUconst_NotRelevant,AND(COUNTA(CNTR_ListRelevantSections)&gt;0,OR(T846=TRUE,E845="")))</f>
        <v>1</v>
      </c>
    </row>
    <row r="851" spans="1:78" s="142" customFormat="1" ht="5.0999999999999996" hidden="1" customHeight="1">
      <c r="A851" s="808"/>
      <c r="B851" s="166"/>
      <c r="C851" s="166"/>
      <c r="D851" s="166"/>
      <c r="E851" s="166"/>
      <c r="F851" s="166"/>
      <c r="G851" s="166"/>
      <c r="H851" s="495"/>
      <c r="I851" s="495"/>
      <c r="J851" s="495"/>
      <c r="K851" s="495"/>
      <c r="L851" s="495"/>
      <c r="M851" s="507"/>
      <c r="O851" s="733"/>
      <c r="P851" s="23"/>
      <c r="Q851" s="23"/>
      <c r="R851" s="23"/>
      <c r="S851" s="23"/>
      <c r="T851" s="23"/>
      <c r="U851" s="23"/>
      <c r="V851" s="30"/>
      <c r="W851" s="30"/>
      <c r="X851" s="30"/>
      <c r="Y851" s="494"/>
      <c r="Z851" s="30"/>
      <c r="AA851" s="30"/>
      <c r="AB851" s="30"/>
      <c r="AC851" s="492"/>
      <c r="AD851" s="30"/>
      <c r="AE851" s="30"/>
      <c r="AF851" s="58"/>
      <c r="AG851" s="30"/>
      <c r="AH851" s="30"/>
      <c r="AI851" s="30"/>
      <c r="AJ851" s="504"/>
      <c r="AK851" s="504"/>
      <c r="AL851" s="342"/>
      <c r="AM851" s="30"/>
      <c r="AN851" s="30"/>
      <c r="AO851" s="30"/>
      <c r="AP851" s="30"/>
      <c r="AQ851" s="30"/>
      <c r="AR851" s="30"/>
      <c r="AS851" s="30"/>
      <c r="AT851" s="492"/>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2"/>
    </row>
    <row r="852" spans="1:78" s="142" customFormat="1" ht="12.75" hidden="1" customHeight="1" thickBot="1">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3"/>
      <c r="Q852" s="23"/>
      <c r="R852" s="23"/>
      <c r="S852" s="23"/>
      <c r="T852" s="23"/>
      <c r="U852" s="23"/>
      <c r="V852" s="30"/>
      <c r="W852" s="30"/>
      <c r="X852" s="30"/>
      <c r="Y852" s="494"/>
      <c r="Z852" s="30"/>
      <c r="AA852" s="30"/>
      <c r="AB852" s="30"/>
      <c r="AC852" s="1172" t="b">
        <f>AC850</f>
        <v>0</v>
      </c>
      <c r="AD852" s="30"/>
      <c r="AE852" s="30"/>
      <c r="AF852" s="58"/>
      <c r="AG852" s="30"/>
      <c r="AH852" s="30"/>
      <c r="AI852" s="30"/>
      <c r="AJ852" s="504"/>
      <c r="AK852" s="504"/>
      <c r="AL852" s="342"/>
      <c r="AM852" s="30"/>
      <c r="AN852" s="30"/>
      <c r="AO852" s="30"/>
      <c r="AP852" s="30"/>
      <c r="AQ852" s="30"/>
      <c r="AR852" s="30"/>
      <c r="AS852" s="30"/>
      <c r="AT852" s="1172"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2" t="b">
        <f>OR(BZ850,AND(NOT(ISBLANK(L850)),L850=FALSE))</f>
        <v>1</v>
      </c>
    </row>
    <row r="853" spans="1:78" s="142" customFormat="1" ht="4.5" hidden="1" customHeight="1">
      <c r="A853" s="808"/>
      <c r="B853" s="166"/>
      <c r="C853" s="166"/>
      <c r="D853" s="166"/>
      <c r="E853" s="166"/>
      <c r="F853" s="166"/>
      <c r="G853" s="166"/>
      <c r="M853" s="143"/>
      <c r="N853" s="143"/>
      <c r="O853" s="733"/>
      <c r="P853" s="23"/>
      <c r="Q853" s="23"/>
      <c r="R853" s="23"/>
      <c r="S853" s="23"/>
      <c r="T853" s="23"/>
      <c r="U853" s="23"/>
      <c r="V853" s="30"/>
      <c r="W853" s="30"/>
      <c r="X853" s="30"/>
      <c r="Y853" s="494"/>
      <c r="Z853" s="30"/>
      <c r="AA853" s="30"/>
      <c r="AB853" s="30"/>
      <c r="AC853" s="30"/>
      <c r="AD853" s="30"/>
      <c r="AE853" s="30"/>
      <c r="AF853" s="58"/>
      <c r="AG853" s="30"/>
      <c r="AH853" s="30"/>
      <c r="AI853" s="30"/>
      <c r="AJ853" s="504"/>
      <c r="AK853" s="504"/>
      <c r="AL853" s="342"/>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hidden="1" customHeight="1" thickBot="1">
      <c r="A854" s="808"/>
      <c r="B854" s="166"/>
      <c r="C854" s="166"/>
      <c r="D854" s="166"/>
      <c r="E854" s="166"/>
      <c r="F854" s="506" t="str">
        <f>Translations!$B$333</f>
        <v>Pakopa</v>
      </c>
      <c r="G854" s="1557" t="str">
        <f>Translations!$B$672</f>
        <v>pakopos aprašas</v>
      </c>
      <c r="H854" s="1557"/>
      <c r="I854" s="1555" t="str">
        <f>Translations!$B$158</f>
        <v>Vienetas</v>
      </c>
      <c r="J854" s="1555"/>
      <c r="K854" s="1555" t="str">
        <f>Translations!$B$673</f>
        <v>Vertė</v>
      </c>
      <c r="L854" s="1555"/>
      <c r="M854" s="507" t="str">
        <f>Translations!$B$610</f>
        <v>klaida</v>
      </c>
      <c r="O854" s="733"/>
      <c r="P854" s="508"/>
      <c r="Q854" s="352" t="str">
        <f>EUconst_SumEnergyIN &amp; "_" &amp; K845</f>
        <v>SUM_EnergyIN_</v>
      </c>
      <c r="R854" s="399" t="str">
        <f>IF(OR(K845="",T846)=TRUE,"",INDEX(BC860:BE860,MATCH(K845,BC855:BE855,0)))</f>
        <v/>
      </c>
      <c r="S854" s="30"/>
      <c r="T854" s="489"/>
      <c r="U854" s="30"/>
      <c r="V854" s="509" t="s">
        <v>303</v>
      </c>
      <c r="W854" s="30"/>
      <c r="X854" s="30"/>
      <c r="Y854" s="494" t="s">
        <v>566</v>
      </c>
      <c r="Z854" s="494" t="s">
        <v>318</v>
      </c>
      <c r="AA854" s="30"/>
      <c r="AB854" s="30"/>
      <c r="AC854" s="505" t="s">
        <v>309</v>
      </c>
      <c r="AD854" s="30"/>
      <c r="AE854" s="30"/>
      <c r="AF854" s="492" t="s">
        <v>305</v>
      </c>
      <c r="AG854" s="492" t="s">
        <v>306</v>
      </c>
      <c r="AH854" s="494" t="s">
        <v>304</v>
      </c>
      <c r="AI854" s="504" t="s">
        <v>307</v>
      </c>
      <c r="AJ854" s="504" t="s">
        <v>567</v>
      </c>
      <c r="AK854" s="510" t="s">
        <v>311</v>
      </c>
      <c r="AL854" s="342"/>
      <c r="AM854" s="30"/>
      <c r="AN854" s="492" t="s">
        <v>305</v>
      </c>
      <c r="AO854" s="492" t="s">
        <v>306</v>
      </c>
      <c r="AP854" s="511" t="s">
        <v>310</v>
      </c>
      <c r="AQ854" s="504" t="s">
        <v>569</v>
      </c>
      <c r="AR854" s="504" t="s">
        <v>568</v>
      </c>
      <c r="AS854" s="510" t="s">
        <v>609</v>
      </c>
      <c r="AT854" s="510" t="s">
        <v>609</v>
      </c>
      <c r="AU854" s="30"/>
      <c r="AV854" s="492"/>
      <c r="AW854" s="492"/>
      <c r="AX854" s="492" t="s">
        <v>321</v>
      </c>
      <c r="AY854" s="492"/>
      <c r="AZ854" s="492"/>
      <c r="BA854" s="492"/>
      <c r="BB854" s="492"/>
      <c r="BC854" s="492"/>
      <c r="BD854" s="492"/>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3" t="s">
        <v>262</v>
      </c>
    </row>
    <row r="855" spans="1:78" s="142" customFormat="1" ht="9" hidden="1" customHeight="1" thickBot="1">
      <c r="A855" s="808"/>
      <c r="B855" s="166"/>
      <c r="C855" s="777" t="s">
        <v>196</v>
      </c>
      <c r="D855" s="512" t="str">
        <f>Translations!$B$622</f>
        <v>VD:</v>
      </c>
      <c r="E855" s="513"/>
      <c r="F855" s="402"/>
      <c r="G855" s="1532" t="str">
        <f>IF(OR(ISBLANK(F855),F855=EUconst_NoTier),"",IF(Z855=0,EUconst_NA,IF(ISERROR(Z855),"",Z855)))</f>
        <v/>
      </c>
      <c r="H855" s="1533"/>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0"/>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0"/>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0"/>
      <c r="AV855" s="492" t="s">
        <v>314</v>
      </c>
      <c r="AW855" s="492" t="s">
        <v>319</v>
      </c>
      <c r="AX855" s="524"/>
      <c r="AY855" s="30" t="s">
        <v>542</v>
      </c>
      <c r="AZ855" s="30"/>
      <c r="BA855" s="30"/>
      <c r="BB855" s="504"/>
      <c r="BC855" s="493" t="str">
        <f>EUconst_Fuel</f>
        <v>Degimas</v>
      </c>
      <c r="BD855" s="493" t="str">
        <f>EUconst_ProcessCarbonate</f>
        <v>Proceso metu išsiskiriančios ŠESD</v>
      </c>
      <c r="BE855" s="493"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4" t="b">
        <f>BZ850</f>
        <v>1</v>
      </c>
    </row>
    <row r="856" spans="1:78" s="142" customFormat="1" ht="5.0999999999999996" hidden="1" customHeight="1">
      <c r="A856" s="808"/>
      <c r="B856" s="166"/>
      <c r="C856" s="814"/>
      <c r="D856" s="306"/>
      <c r="F856" s="143"/>
      <c r="G856" s="143"/>
      <c r="H856" s="143" t="s">
        <v>236</v>
      </c>
      <c r="I856" s="525"/>
      <c r="J856" s="525"/>
      <c r="K856" s="143"/>
      <c r="L856" s="143"/>
      <c r="M856" s="710"/>
      <c r="O856" s="733"/>
      <c r="P856" s="33"/>
      <c r="Q856" s="33"/>
      <c r="R856" s="33"/>
      <c r="S856" s="30"/>
      <c r="T856" s="155"/>
      <c r="U856" s="497"/>
      <c r="V856" s="30"/>
      <c r="W856" s="30"/>
      <c r="X856" s="497"/>
      <c r="Y856" s="526"/>
      <c r="Z856" s="30"/>
      <c r="AA856" s="30"/>
      <c r="AB856" s="30"/>
      <c r="AC856" s="30"/>
      <c r="AD856" s="30"/>
      <c r="AE856" s="30"/>
      <c r="AF856" s="30"/>
      <c r="AG856" s="30"/>
      <c r="AH856" s="30"/>
      <c r="AI856" s="30"/>
      <c r="AJ856" s="30"/>
      <c r="AK856" s="30"/>
      <c r="AL856" s="342"/>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3"/>
    </row>
    <row r="857" spans="1:78" s="142" customFormat="1" ht="12.75" hidden="1" customHeight="1" thickBot="1">
      <c r="A857" s="808"/>
      <c r="B857" s="166"/>
      <c r="C857" s="814" t="s">
        <v>197</v>
      </c>
      <c r="D857" s="512" t="str">
        <f>Translations!$B$634</f>
        <v>(prelim.) ITF:</v>
      </c>
      <c r="E857" s="513"/>
      <c r="F857" s="527"/>
      <c r="G857" s="1532" t="str">
        <f t="shared" ref="G857:G863" si="203">IF(OR(ISBLANK(F857),F857=EUconst_NoTier),"",IF(Z857=0,EUconst_NotApplicable,IF(ISERROR(Z857),"",Z857)))</f>
        <v/>
      </c>
      <c r="H857" s="1556"/>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3"/>
      <c r="Q857" s="33"/>
      <c r="R857" s="33"/>
      <c r="S857" s="30"/>
      <c r="T857" s="530" t="str">
        <f>EUconst_CNTR_EF&amp;E846</f>
        <v>EF_</v>
      </c>
      <c r="U857" s="497"/>
      <c r="V857" s="531" t="str">
        <f>V855</f>
        <v/>
      </c>
      <c r="W857" s="30"/>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0"/>
      <c r="AC857" s="535" t="b">
        <f>AND(AC855,Y857&lt;&gt;EUconst_NA)</f>
        <v>0</v>
      </c>
      <c r="AD857" s="30"/>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0"/>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0"/>
      <c r="BA857" s="30"/>
      <c r="BB857" s="547" t="s">
        <v>594</v>
      </c>
      <c r="BC857" s="546" t="str">
        <f>IF(K845=BC855,AR855*IF(AJ857=EUconst_tCO2pTJ,(AR858/1000),1)*AR857*AR859*AR863,"")</f>
        <v/>
      </c>
      <c r="BD857" s="524" t="str">
        <f>IF(K845=BD855,AR855*AR857*AR860*AR863,"")</f>
        <v/>
      </c>
      <c r="BE857" s="523"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1" t="b">
        <f>OR(BZ855,Y857=EUconst_NA)</f>
        <v>1</v>
      </c>
    </row>
    <row r="858" spans="1:78" s="142" customFormat="1" ht="12.75" hidden="1" customHeight="1" thickBot="1">
      <c r="A858" s="808"/>
      <c r="B858" s="166"/>
      <c r="C858" s="814" t="s">
        <v>198</v>
      </c>
      <c r="D858" s="512" t="str">
        <f>Translations!$B$636</f>
        <v>GŠV:</v>
      </c>
      <c r="E858" s="513"/>
      <c r="F858" s="548"/>
      <c r="G858" s="1532" t="str">
        <f t="shared" si="203"/>
        <v/>
      </c>
      <c r="H858" s="1533"/>
      <c r="I858" s="1169" t="str">
        <f>AJ858</f>
        <v/>
      </c>
      <c r="J858" s="549"/>
      <c r="K858" s="550" t="str">
        <f t="shared" si="204"/>
        <v/>
      </c>
      <c r="L858" s="551"/>
      <c r="M858" s="709" t="str">
        <f>IF(AND(E846&lt;&gt;"",OR(F858="",COUNT(K858:L858)=0),Y858&lt;&gt;EUconst_NA,T846&lt;&gt;TRUE),EUconst_ERR_Incomplete,IF(COUNTIF(AX858:AZ858,TRUE)&gt;0,EUconst_ERR_Inconsistent,""))</f>
        <v/>
      </c>
      <c r="O858" s="733"/>
      <c r="P858" s="33"/>
      <c r="Q858" s="33"/>
      <c r="R858" s="33"/>
      <c r="S858" s="30"/>
      <c r="T858" s="552" t="str">
        <f>EUconst_CNTR_NCV&amp;E846</f>
        <v>NCV_</v>
      </c>
      <c r="U858" s="497"/>
      <c r="V858" s="553" t="str">
        <f t="shared" ref="V858:V863" si="209">V857</f>
        <v/>
      </c>
      <c r="W858" s="30"/>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0"/>
      <c r="AC858" s="557" t="b">
        <f>AND(AC855,Y858&lt;&gt;EUconst_NA)</f>
        <v>0</v>
      </c>
      <c r="AD858" s="30"/>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0"/>
      <c r="AV858" s="567" t="b">
        <f t="shared" si="206"/>
        <v>0</v>
      </c>
      <c r="AW858" s="568" t="b">
        <f t="shared" si="207"/>
        <v>0</v>
      </c>
      <c r="AX858" s="30"/>
      <c r="AY858" s="553" t="b">
        <f t="shared" si="208"/>
        <v>0</v>
      </c>
      <c r="AZ858" s="30"/>
      <c r="BA858" s="30"/>
      <c r="BB858" s="547" t="s">
        <v>595</v>
      </c>
      <c r="BC858" s="546" t="str">
        <f>IF(K845=BC855,AR855*IF(AJ857=EUconst_tCO2pTJ,(AR858/1000),1)*AR857*AR859*AR862,"")</f>
        <v/>
      </c>
      <c r="BD858" s="524" t="str">
        <f>IF(K845=BD855,AR855*AR857*AR860*AR862,"")</f>
        <v/>
      </c>
      <c r="BE858" s="523"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3" t="b">
        <f>OR(BZ855,Y858=EUconst_NA)</f>
        <v>1</v>
      </c>
    </row>
    <row r="859" spans="1:78" s="142" customFormat="1" ht="12.75" hidden="1" customHeight="1" thickBot="1">
      <c r="A859" s="808"/>
      <c r="B859" s="166"/>
      <c r="C859" s="814" t="s">
        <v>199</v>
      </c>
      <c r="D859" s="512" t="str">
        <f>Translations!$B$638</f>
        <v>OksK:</v>
      </c>
      <c r="E859" s="513"/>
      <c r="F859" s="548"/>
      <c r="G859" s="1532" t="str">
        <f t="shared" si="203"/>
        <v/>
      </c>
      <c r="H859" s="1533"/>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3"/>
      <c r="Q859" s="33"/>
      <c r="R859" s="33"/>
      <c r="S859" s="30"/>
      <c r="T859" s="552" t="str">
        <f>EUconst_CNTR_OxidationFactor&amp;E846</f>
        <v>OxF_</v>
      </c>
      <c r="U859" s="497"/>
      <c r="V859" s="553" t="str">
        <f t="shared" si="209"/>
        <v/>
      </c>
      <c r="W859" s="30"/>
      <c r="X859" s="497"/>
      <c r="Y859" s="554" t="str">
        <f>IF(OR(T846=TRUE,E846=""),"",INDEX(EUwideConstants!$N:$N,MATCH(T859,EUwideConstants!$Q:$Q,0)))</f>
        <v/>
      </c>
      <c r="Z859" s="555" t="str">
        <f>IF(ISBLANK(F859),"",IF(F859=EUconst_NA,"",INDEX(EUwideConstants!$H:$M,MATCH(T859,EUwideConstants!$Q:$Q,0),MATCH(F859,CNTR_TierList,0))))</f>
        <v/>
      </c>
      <c r="AA859" s="534" t="str">
        <f>IF(F859=1,1,"")</f>
        <v/>
      </c>
      <c r="AB859" s="30"/>
      <c r="AC859" s="557" t="b">
        <f>AND(AC855,Y859&lt;&gt;EUconst_NA)</f>
        <v>0</v>
      </c>
      <c r="AD859" s="30"/>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0"/>
      <c r="AV859" s="567" t="b">
        <f t="shared" si="206"/>
        <v>0</v>
      </c>
      <c r="AW859" s="568" t="b">
        <f t="shared" si="207"/>
        <v>0</v>
      </c>
      <c r="AX859" s="30"/>
      <c r="AY859" s="594" t="b">
        <f t="shared" si="208"/>
        <v>0</v>
      </c>
      <c r="AZ859" s="531" t="b">
        <f>AR859&gt;100%</f>
        <v>0</v>
      </c>
      <c r="BA859" s="30"/>
      <c r="BB859" s="547" t="s">
        <v>290</v>
      </c>
      <c r="BC859" s="546" t="str">
        <f>IF(K845=BC855,AR855*IF(AJ857=EUconst_tCO2pTJ,(AR858/1000),1)*AR857*AR859*(1-AR862),"")</f>
        <v/>
      </c>
      <c r="BD859" s="524" t="str">
        <f>IF(K845=BD855,AR855*AR857*AR860*(1-AR862),"")</f>
        <v/>
      </c>
      <c r="BE859" s="523"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3" t="b">
        <f>OR(BZ855,Y859=EUconst_NA)</f>
        <v>1</v>
      </c>
    </row>
    <row r="860" spans="1:78" s="142" customFormat="1" ht="12.75" hidden="1" customHeight="1" thickBot="1">
      <c r="A860" s="808"/>
      <c r="B860" s="166"/>
      <c r="C860" s="814" t="s">
        <v>200</v>
      </c>
      <c r="D860" s="512" t="str">
        <f>Translations!$B$639</f>
        <v>KonvK:</v>
      </c>
      <c r="E860" s="513"/>
      <c r="F860" s="548"/>
      <c r="G860" s="1532" t="str">
        <f t="shared" si="203"/>
        <v/>
      </c>
      <c r="H860" s="1533"/>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3"/>
      <c r="Q860" s="33"/>
      <c r="R860" s="33"/>
      <c r="S860" s="30"/>
      <c r="T860" s="552" t="str">
        <f>EUconst_CNTR_ConversionFactor&amp;E846</f>
        <v>ConvF_</v>
      </c>
      <c r="U860" s="497"/>
      <c r="V860" s="553" t="str">
        <f t="shared" si="209"/>
        <v/>
      </c>
      <c r="W860" s="30"/>
      <c r="X860" s="497"/>
      <c r="Y860" s="554" t="str">
        <f>IF(OR(T846=TRUE,E846=""),"",INDEX(EUwideConstants!$N:$N,MATCH(T860,EUwideConstants!$Q:$Q,0)))</f>
        <v/>
      </c>
      <c r="Z860" s="555" t="str">
        <f>IF(ISBLANK(F860),"",IF(F860=EUconst_NA,"",INDEX(EUwideConstants!$H:$M,MATCH(T860,EUwideConstants!$Q:$Q,0),MATCH(F860,CNTR_TierList,0))))</f>
        <v/>
      </c>
      <c r="AA860" s="582" t="str">
        <f>IF(F860=1,1,"")</f>
        <v/>
      </c>
      <c r="AB860" s="30"/>
      <c r="AC860" s="557" t="b">
        <f>AND(AC855,Y860&lt;&gt;EUconst_NA)</f>
        <v>0</v>
      </c>
      <c r="AD860" s="30"/>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0"/>
      <c r="AV860" s="567" t="b">
        <f t="shared" si="206"/>
        <v>0</v>
      </c>
      <c r="AW860" s="568" t="b">
        <f t="shared" si="207"/>
        <v>0</v>
      </c>
      <c r="AX860" s="30"/>
      <c r="AY860" s="594" t="b">
        <f t="shared" si="208"/>
        <v>0</v>
      </c>
      <c r="AZ860" s="580" t="b">
        <f>AR860&gt;100%</f>
        <v>0</v>
      </c>
      <c r="BA860" s="30"/>
      <c r="BB860" s="578" t="s">
        <v>487</v>
      </c>
      <c r="BC860" s="579">
        <f>AR855*AR858/1000*(1-AR862)</f>
        <v>0</v>
      </c>
      <c r="BD860" s="580">
        <f>BC860</f>
        <v>0</v>
      </c>
      <c r="BE860" s="581">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3" t="b">
        <f>OR(BZ855,Y860=EUconst_NA)</f>
        <v>1</v>
      </c>
    </row>
    <row r="861" spans="1:78" s="142" customFormat="1" ht="12.75" hidden="1" customHeight="1" thickBot="1">
      <c r="A861" s="808"/>
      <c r="B861" s="166"/>
      <c r="C861" s="814" t="s">
        <v>329</v>
      </c>
      <c r="D861" s="512" t="str">
        <f>Translations!$B$640</f>
        <v>AnglK:</v>
      </c>
      <c r="E861" s="513"/>
      <c r="F861" s="548"/>
      <c r="G861" s="1532" t="str">
        <f t="shared" si="203"/>
        <v/>
      </c>
      <c r="H861" s="1533"/>
      <c r="I861" s="1170" t="str">
        <f>AJ861</f>
        <v/>
      </c>
      <c r="J861" s="586"/>
      <c r="K861" s="587" t="str">
        <f t="shared" si="204"/>
        <v/>
      </c>
      <c r="L861" s="588"/>
      <c r="M861" s="709" t="str">
        <f>IF(AND(E846&lt;&gt;"",OR(F861="",COUNT(K861:L861)=0),Y861&lt;&gt;EUconst_NA,T846&lt;&gt;TRUE),EUconst_ERR_Incomplete,IF(COUNTIF(AX861:AZ861,TRUE)&gt;0,EUconst_ERR_Inconsistent,""))</f>
        <v/>
      </c>
      <c r="O861" s="733"/>
      <c r="P861" s="33"/>
      <c r="Q861" s="33"/>
      <c r="R861" s="33"/>
      <c r="S861" s="30"/>
      <c r="T861" s="552" t="str">
        <f>EUconst_CNTR_CarbonContent&amp;E846</f>
        <v>CarbC_</v>
      </c>
      <c r="U861" s="497"/>
      <c r="V861" s="553" t="str">
        <f t="shared" si="209"/>
        <v/>
      </c>
      <c r="W861" s="30"/>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0"/>
      <c r="AC861" s="557" t="b">
        <f>AND(AC855,Y861&lt;&gt;EUconst_NA)</f>
        <v>0</v>
      </c>
      <c r="AD861" s="30"/>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0"/>
      <c r="AV861" s="567" t="b">
        <f t="shared" si="206"/>
        <v>0</v>
      </c>
      <c r="AW861" s="568" t="b">
        <f t="shared" si="207"/>
        <v>0</v>
      </c>
      <c r="AX861" s="546" t="b">
        <f>OR(AND(AJ855=EUconst_kNm3,AJ861=EUconst_tCpt),AND(AJ855=EUconst_t,AJ861=EUconst_tCpkNm3))</f>
        <v>0</v>
      </c>
      <c r="AY861" s="553" t="b">
        <f t="shared" si="208"/>
        <v>0</v>
      </c>
      <c r="AZ861" s="30"/>
      <c r="BA861" s="30"/>
      <c r="BB861" s="578" t="s">
        <v>488</v>
      </c>
      <c r="BC861" s="579">
        <f>AR855*AR858/1000*AR862</f>
        <v>0</v>
      </c>
      <c r="BD861" s="580">
        <f>BC861</f>
        <v>0</v>
      </c>
      <c r="BE861" s="581">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3" t="b">
        <f>OR(BZ855,Y861=EUconst_NA)</f>
        <v>1</v>
      </c>
    </row>
    <row r="862" spans="1:78" s="142" customFormat="1" ht="12.75" hidden="1" customHeight="1">
      <c r="A862" s="808"/>
      <c r="B862" s="166"/>
      <c r="C862" s="777" t="s">
        <v>330</v>
      </c>
      <c r="D862" s="512" t="str">
        <f>Translations!$B$641</f>
        <v>BioC:</v>
      </c>
      <c r="E862" s="513"/>
      <c r="F862" s="548"/>
      <c r="G862" s="1532" t="str">
        <f t="shared" si="203"/>
        <v/>
      </c>
      <c r="H862" s="1533"/>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0"/>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0"/>
      <c r="AC862" s="557" t="b">
        <f>AND(AC855,Y862&lt;&gt;EUconst_NA)</f>
        <v>0</v>
      </c>
      <c r="AD862" s="30"/>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0"/>
      <c r="AV862" s="567" t="b">
        <f t="shared" si="206"/>
        <v>0</v>
      </c>
      <c r="AW862" s="568" t="b">
        <f t="shared" si="207"/>
        <v>0</v>
      </c>
      <c r="AX862" s="30"/>
      <c r="AY862" s="594" t="b">
        <f t="shared" si="208"/>
        <v>0</v>
      </c>
      <c r="AZ862" s="531"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3" t="b">
        <f>OR(BZ855,Y862=EUconst_NA)</f>
        <v>1</v>
      </c>
    </row>
    <row r="863" spans="1:78" s="142" customFormat="1" ht="12.75" hidden="1" customHeight="1" thickBot="1">
      <c r="A863" s="808"/>
      <c r="B863" s="166"/>
      <c r="C863" s="777" t="s">
        <v>454</v>
      </c>
      <c r="D863" s="512" t="str">
        <f>Translations!$B$647</f>
        <v>Netvar. BioC:</v>
      </c>
      <c r="E863" s="513"/>
      <c r="F863" s="597"/>
      <c r="G863" s="1532" t="str">
        <f t="shared" si="203"/>
        <v/>
      </c>
      <c r="H863" s="1533"/>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0"/>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0"/>
      <c r="AC863" s="603" t="b">
        <f>AND(AC855,Y863&lt;&gt;EUconst_NA)</f>
        <v>0</v>
      </c>
      <c r="AD863" s="30"/>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0"/>
      <c r="AV863" s="613" t="b">
        <f t="shared" si="206"/>
        <v>0</v>
      </c>
      <c r="AW863" s="614" t="b">
        <f t="shared" si="207"/>
        <v>0</v>
      </c>
      <c r="AX863" s="30"/>
      <c r="AY863" s="579" t="b">
        <f t="shared" si="208"/>
        <v>0</v>
      </c>
      <c r="AZ863" s="580"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80" t="b">
        <f>OR(BZ855,Y863=EUconst_NA)</f>
        <v>1</v>
      </c>
    </row>
    <row r="864" spans="1:78" s="142" customFormat="1" ht="5.0999999999999996" hidden="1" customHeight="1">
      <c r="A864" s="808"/>
      <c r="B864" s="166"/>
      <c r="C864" s="166"/>
      <c r="D864" s="180"/>
      <c r="O864" s="733"/>
      <c r="P864" s="33"/>
      <c r="Q864" s="33"/>
      <c r="R864" s="33"/>
      <c r="S864" s="174"/>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hidden="1" customHeight="1">
      <c r="A865" s="808"/>
      <c r="B865" s="166"/>
      <c r="C865" s="166"/>
      <c r="D865" s="1558" t="str">
        <f>Translations!$B$674</f>
        <v>Pakopos galioja nuo:</v>
      </c>
      <c r="E865" s="1558"/>
      <c r="F865" s="1559"/>
      <c r="G865" s="1052"/>
      <c r="H865" s="615" t="str">
        <f>Translations!$B$675</f>
        <v>iki:</v>
      </c>
      <c r="I865" s="1052"/>
      <c r="J865" s="1536" t="str">
        <f>Translations!$B$676</f>
        <v>Atliekų katalogo numeris (jeigu taikytina):</v>
      </c>
      <c r="K865" s="1537"/>
      <c r="L865" s="1537"/>
      <c r="M865" s="1538"/>
      <c r="N865" s="1289"/>
      <c r="O865" s="733"/>
      <c r="P865" s="33"/>
      <c r="Q865" s="33"/>
      <c r="R865" s="33"/>
      <c r="S865" s="1290"/>
      <c r="T865" s="492"/>
      <c r="U865" s="492"/>
      <c r="V865" s="48" t="b">
        <f>IF(V855="",FALSE,INDEX(CNTR_IsWaste,MATCH(V855,MSParameters!$A$218:$A$376,0)))</f>
        <v>0</v>
      </c>
      <c r="W865" s="1290"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hidden="1" customHeight="1">
      <c r="A866" s="808"/>
      <c r="B866" s="166"/>
      <c r="C866" s="166"/>
      <c r="D866" s="615"/>
      <c r="E866" s="495"/>
      <c r="F866" s="495"/>
      <c r="G866" s="495"/>
      <c r="H866" s="495"/>
      <c r="I866" s="495"/>
      <c r="J866" s="495"/>
      <c r="K866" s="495"/>
      <c r="L866" s="495"/>
      <c r="M866" s="495"/>
      <c r="N866" s="495"/>
      <c r="O866" s="733"/>
      <c r="P866" s="33"/>
      <c r="Q866" s="33"/>
      <c r="R866" s="33"/>
      <c r="S866" s="174"/>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hidden="1" customHeight="1">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3"/>
      <c r="Q867" s="33"/>
      <c r="R867" s="33"/>
      <c r="S867" s="174"/>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hidden="1" customHeight="1">
      <c r="A868" s="815"/>
      <c r="D868" s="180"/>
      <c r="O868" s="573"/>
      <c r="P868" s="497"/>
      <c r="Q868" s="497"/>
      <c r="R868" s="497"/>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hidden="1">
      <c r="A869" s="815"/>
      <c r="D869" s="1534" t="str">
        <f>Translations!$B$160</f>
        <v>Pastabos:</v>
      </c>
      <c r="E869" s="1535"/>
      <c r="F869" s="1539"/>
      <c r="G869" s="1540"/>
      <c r="H869" s="1540"/>
      <c r="I869" s="1540"/>
      <c r="J869" s="1540"/>
      <c r="K869" s="1540"/>
      <c r="L869" s="1540"/>
      <c r="M869" s="1540"/>
      <c r="N869" s="1541"/>
      <c r="O869" s="573"/>
      <c r="P869" s="497"/>
      <c r="Q869" s="497"/>
      <c r="R869" s="497"/>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c r="A870" s="808"/>
      <c r="B870" s="495"/>
      <c r="C870" s="499"/>
      <c r="D870" s="500"/>
      <c r="E870" s="501"/>
      <c r="F870" s="499"/>
      <c r="G870" s="502"/>
      <c r="H870" s="502"/>
      <c r="I870" s="502"/>
      <c r="J870" s="502"/>
      <c r="K870" s="502"/>
      <c r="L870" s="502"/>
      <c r="M870" s="502"/>
      <c r="N870" s="502"/>
      <c r="O870" s="740"/>
      <c r="P870" s="494"/>
      <c r="Q870" s="494"/>
      <c r="R870" s="494"/>
      <c r="S870" s="58"/>
      <c r="T870" s="58"/>
      <c r="U870" s="498"/>
      <c r="V870" s="58"/>
      <c r="W870" s="58"/>
      <c r="X870" s="49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c r="A871" s="813"/>
      <c r="B871" s="495"/>
      <c r="C871" s="495"/>
      <c r="D871" s="180"/>
      <c r="E871" s="496"/>
      <c r="F871" s="495"/>
      <c r="G871" s="487"/>
      <c r="H871" s="487"/>
      <c r="I871" s="487"/>
      <c r="J871" s="487"/>
      <c r="K871" s="495"/>
      <c r="L871" s="487"/>
      <c r="M871" s="487"/>
      <c r="N871" s="487"/>
      <c r="O871" s="740"/>
      <c r="P871" s="494"/>
      <c r="Q871" s="494"/>
      <c r="R871" s="494"/>
      <c r="S871" s="23"/>
      <c r="T871" s="27" t="str">
        <f>IF(ISBLANK(E872),"",MATCH(E872,CNTR_SourceStreamNames,0))</f>
        <v/>
      </c>
      <c r="U871" s="618"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1"/>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3" t="s">
        <v>262</v>
      </c>
    </row>
    <row r="872" spans="1:78" s="142" customFormat="1" ht="15" hidden="1" customHeight="1" thickBot="1">
      <c r="A872" s="869" t="str">
        <f>IF(E872="","","PRINT")</f>
        <v/>
      </c>
      <c r="B872" s="166"/>
      <c r="C872" s="617">
        <f>C845+1</f>
        <v>31</v>
      </c>
      <c r="D872" s="166"/>
      <c r="E872" s="1542"/>
      <c r="F872" s="1543"/>
      <c r="G872" s="1543"/>
      <c r="H872" s="1543"/>
      <c r="I872" s="1543"/>
      <c r="J872" s="1544"/>
      <c r="K872" s="1545" t="str">
        <f>IF(E873="","",INDEX(EUwideConstants!$F$353:$F$394,MATCH(E873,EUConst_TierActivityListNames,0)))</f>
        <v/>
      </c>
      <c r="L872" s="1546"/>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3"/>
      <c r="T872" s="509" t="s">
        <v>393</v>
      </c>
      <c r="U872" s="23"/>
      <c r="V872" s="78"/>
      <c r="W872" s="56"/>
      <c r="X872" s="58"/>
      <c r="Y872" s="58"/>
      <c r="Z872" s="58"/>
      <c r="AA872" s="58"/>
      <c r="AB872" s="58"/>
      <c r="AC872" s="58"/>
      <c r="AD872" s="58"/>
      <c r="AE872" s="58"/>
      <c r="AF872" s="58"/>
      <c r="AG872" s="58"/>
      <c r="AH872" s="58"/>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6"/>
      <c r="BZ872" s="619" t="b">
        <f>CNTR_CalcRelevant=EUconst_NotRelevant</f>
        <v>0</v>
      </c>
    </row>
    <row r="873" spans="1:78" s="142" customFormat="1" ht="15" hidden="1" customHeight="1" thickBot="1">
      <c r="A873" s="808"/>
      <c r="B873" s="166"/>
      <c r="C873" s="166"/>
      <c r="D873" s="166"/>
      <c r="E873" s="1547" t="str">
        <f>IF(ISBLANK(E872),"",IF(INDEX(B_InstallationDescription!$E$71:$E$145,MATCH(U871,B_InstallationDescription!$D$71:$D$145,0))&gt;0,INDEX(B_InstallationDescription!$E$71:$E$145,MATCH(U871,B_InstallationDescription!$D$71:$D$145,0)),""))</f>
        <v/>
      </c>
      <c r="F873" s="1548"/>
      <c r="G873" s="1548"/>
      <c r="H873" s="1548"/>
      <c r="I873" s="1548"/>
      <c r="J873" s="1549"/>
      <c r="M873" s="346" t="str">
        <f>Translations!$B$666</f>
        <v>CO2, biomasės kilmės.:</v>
      </c>
      <c r="N873" s="1051" t="str">
        <f>IF(OR(K872="",T873=TRUE),"",INDEX(BC885:BE885,MATCH(K872,BC882:BE882,0)))</f>
        <v/>
      </c>
      <c r="O873" s="742" t="s">
        <v>260</v>
      </c>
      <c r="P873" s="494"/>
      <c r="Q873" s="352" t="str">
        <f>EUconst_SumBioCO2 &amp; "_" &amp; K872</f>
        <v>SUM_bioCO2_</v>
      </c>
      <c r="R873" s="494"/>
      <c r="S873" s="23"/>
      <c r="T873" s="48" t="str">
        <f>IF(E873="","",MATCH(E873,EUConst_TierActivityListNames,0)&gt;40)</f>
        <v/>
      </c>
      <c r="U873" s="23"/>
      <c r="V873" s="78"/>
      <c r="W873" s="56"/>
      <c r="X873" s="58"/>
      <c r="Y873" s="27" t="s">
        <v>93</v>
      </c>
      <c r="Z873" s="30"/>
      <c r="AA873" s="30"/>
      <c r="AB873" s="30"/>
      <c r="AC873" s="30"/>
      <c r="AD873" s="30"/>
      <c r="AE873" s="27" t="s">
        <v>302</v>
      </c>
      <c r="AF873" s="58"/>
      <c r="AG873" s="504"/>
      <c r="AH873" s="30"/>
      <c r="AI873" s="30"/>
      <c r="AJ873" s="504"/>
      <c r="AK873" s="504"/>
      <c r="AL873" s="342"/>
      <c r="AM873" s="27" t="s">
        <v>308</v>
      </c>
      <c r="AN873" s="505"/>
      <c r="AO873" s="505"/>
      <c r="AP873" s="30"/>
      <c r="AQ873" s="30"/>
      <c r="AR873" s="30"/>
      <c r="AS873" s="30"/>
      <c r="AT873" s="30"/>
      <c r="AU873" s="30"/>
      <c r="AV873" s="27" t="s">
        <v>315</v>
      </c>
      <c r="AW873" s="30"/>
      <c r="AX873" s="492"/>
      <c r="AY873" s="30"/>
      <c r="AZ873" s="30"/>
      <c r="BA873" s="30"/>
      <c r="BB873" s="27" t="s">
        <v>219</v>
      </c>
      <c r="BC873" s="30"/>
      <c r="BD873" s="30"/>
      <c r="BE873" s="30"/>
      <c r="BF873" s="30"/>
      <c r="BG873" s="27"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0"/>
      <c r="BZ873" s="30"/>
    </row>
    <row r="874" spans="1:78" s="142" customFormat="1" ht="4.5" hidden="1" customHeight="1">
      <c r="A874" s="808"/>
      <c r="B874" s="166"/>
      <c r="C874" s="166"/>
      <c r="D874" s="166"/>
      <c r="E874" s="166"/>
      <c r="F874" s="166"/>
      <c r="G874" s="166"/>
      <c r="M874" s="143"/>
      <c r="N874" s="143"/>
      <c r="O874" s="733"/>
      <c r="P874" s="33"/>
      <c r="Q874" s="33"/>
      <c r="R874" s="33"/>
      <c r="S874" s="23"/>
      <c r="T874" s="23"/>
      <c r="U874" s="23"/>
      <c r="V874" s="78"/>
      <c r="W874" s="30"/>
      <c r="X874" s="30"/>
      <c r="Y874" s="494"/>
      <c r="Z874" s="30"/>
      <c r="AA874" s="30"/>
      <c r="AB874" s="30"/>
      <c r="AC874" s="30"/>
      <c r="AD874" s="30"/>
      <c r="AE874" s="30"/>
      <c r="AF874" s="58"/>
      <c r="AG874" s="30"/>
      <c r="AH874" s="30"/>
      <c r="AI874" s="30"/>
      <c r="AJ874" s="504"/>
      <c r="AK874" s="504"/>
      <c r="AL874" s="342"/>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hidden="1" customHeight="1" thickBot="1">
      <c r="A875" s="808"/>
      <c r="B875" s="166"/>
      <c r="C875" s="166"/>
      <c r="D875" s="166"/>
      <c r="E875" s="1550" t="str">
        <f>IF(E872="","",IF(T873=TRUE,HYPERLINK("#JUMP_14",EUconst_MsgGoOnPFC),HYPERLINK("#JUMP_E_8",EUconst_FurtherGuidancePoint1)))</f>
        <v/>
      </c>
      <c r="F875" s="1550"/>
      <c r="G875" s="1550"/>
      <c r="H875" s="1550"/>
      <c r="I875" s="1550"/>
      <c r="J875" s="1550"/>
      <c r="K875" s="1550"/>
      <c r="L875" s="1550"/>
      <c r="M875" s="1550"/>
      <c r="N875" s="143"/>
      <c r="O875" s="733"/>
      <c r="P875" s="33"/>
      <c r="Q875" s="352" t="str">
        <f>EUconst_SumNonSustBioCO2 &amp; "_" &amp; K872</f>
        <v>SUM_bioNonSustCO2_</v>
      </c>
      <c r="R875" s="707"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4"/>
      <c r="AK875" s="504"/>
      <c r="AL875" s="342"/>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hidden="1" customHeight="1">
      <c r="A876" s="808"/>
      <c r="B876" s="166"/>
      <c r="C876" s="166"/>
      <c r="D876" s="166"/>
      <c r="E876" s="166"/>
      <c r="F876" s="166"/>
      <c r="G876" s="166"/>
      <c r="M876" s="143"/>
      <c r="N876" s="143"/>
      <c r="O876" s="733"/>
      <c r="P876" s="23"/>
      <c r="Q876" s="23"/>
      <c r="R876" s="23"/>
      <c r="S876" s="23"/>
      <c r="T876" s="23"/>
      <c r="U876" s="23"/>
      <c r="V876" s="30"/>
      <c r="W876" s="30"/>
      <c r="X876" s="30"/>
      <c r="Y876" s="494"/>
      <c r="Z876" s="30"/>
      <c r="AA876" s="30"/>
      <c r="AB876" s="30"/>
      <c r="AC876" s="30"/>
      <c r="AD876" s="30"/>
      <c r="AE876" s="30"/>
      <c r="AF876" s="58"/>
      <c r="AG876" s="30"/>
      <c r="AH876" s="30"/>
      <c r="AI876" s="30"/>
      <c r="AJ876" s="504"/>
      <c r="AK876" s="504"/>
      <c r="AL876" s="342"/>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hidden="1" customHeight="1" thickBot="1">
      <c r="A877" s="808"/>
      <c r="B877" s="166"/>
      <c r="C877" s="814" t="s">
        <v>4</v>
      </c>
      <c r="D877" s="512" t="str">
        <f>Translations!$B$622</f>
        <v>VD:</v>
      </c>
      <c r="E877" s="1560" t="str">
        <f>Translations!$B$667</f>
        <v>Ar veiklos duomenys gaunami sudedant išmatuotus kiekius (t. y. ne atliekant nuolatinius matavimus)?</v>
      </c>
      <c r="F877" s="1560"/>
      <c r="G877" s="1560"/>
      <c r="H877" s="1560"/>
      <c r="I877" s="1560"/>
      <c r="J877" s="1560"/>
      <c r="K877" s="1560"/>
      <c r="L877" s="1179"/>
      <c r="M877" s="507"/>
      <c r="O877" s="733"/>
      <c r="P877" s="23"/>
      <c r="Q877" s="23"/>
      <c r="R877" s="23"/>
      <c r="S877" s="23"/>
      <c r="T877" s="23"/>
      <c r="U877" s="23"/>
      <c r="V877" s="30"/>
      <c r="W877" s="30"/>
      <c r="X877" s="30"/>
      <c r="Y877" s="494"/>
      <c r="Z877" s="30"/>
      <c r="AA877" s="30"/>
      <c r="AB877" s="30"/>
      <c r="AC877" s="1172" t="b">
        <f>AND(E872&lt;&gt;"",T873&lt;&gt;TRUE)</f>
        <v>0</v>
      </c>
      <c r="AD877" s="30"/>
      <c r="AE877" s="30"/>
      <c r="AF877" s="58"/>
      <c r="AG877" s="30"/>
      <c r="AH877" s="30"/>
      <c r="AI877" s="30"/>
      <c r="AJ877" s="504"/>
      <c r="AK877" s="504"/>
      <c r="AL877" s="342"/>
      <c r="AM877" s="30"/>
      <c r="AN877" s="30"/>
      <c r="AO877" s="30"/>
      <c r="AP877" s="30"/>
      <c r="AQ877" s="30"/>
      <c r="AR877" s="30"/>
      <c r="AS877" s="30"/>
      <c r="AT877" s="1172"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2" t="b">
        <f>OR(CNTR_CalcRelevant=EUconst_NotRelevant,AND(COUNTA(CNTR_ListRelevantSections)&gt;0,OR(T873=TRUE,E872="")))</f>
        <v>1</v>
      </c>
    </row>
    <row r="878" spans="1:78" s="142" customFormat="1" ht="5.0999999999999996" hidden="1" customHeight="1">
      <c r="A878" s="808"/>
      <c r="B878" s="166"/>
      <c r="C878" s="166"/>
      <c r="D878" s="166"/>
      <c r="E878" s="166"/>
      <c r="F878" s="166"/>
      <c r="G878" s="166"/>
      <c r="H878" s="495"/>
      <c r="I878" s="495"/>
      <c r="J878" s="495"/>
      <c r="K878" s="495"/>
      <c r="L878" s="495"/>
      <c r="M878" s="507"/>
      <c r="O878" s="733"/>
      <c r="P878" s="23"/>
      <c r="Q878" s="23"/>
      <c r="R878" s="23"/>
      <c r="S878" s="23"/>
      <c r="T878" s="23"/>
      <c r="U878" s="23"/>
      <c r="V878" s="30"/>
      <c r="W878" s="30"/>
      <c r="X878" s="30"/>
      <c r="Y878" s="494"/>
      <c r="Z878" s="30"/>
      <c r="AA878" s="30"/>
      <c r="AB878" s="30"/>
      <c r="AC878" s="492"/>
      <c r="AD878" s="30"/>
      <c r="AE878" s="30"/>
      <c r="AF878" s="58"/>
      <c r="AG878" s="30"/>
      <c r="AH878" s="30"/>
      <c r="AI878" s="30"/>
      <c r="AJ878" s="504"/>
      <c r="AK878" s="504"/>
      <c r="AL878" s="342"/>
      <c r="AM878" s="30"/>
      <c r="AN878" s="30"/>
      <c r="AO878" s="30"/>
      <c r="AP878" s="30"/>
      <c r="AQ878" s="30"/>
      <c r="AR878" s="30"/>
      <c r="AS878" s="30"/>
      <c r="AT878" s="492"/>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2"/>
    </row>
    <row r="879" spans="1:78" s="142" customFormat="1" ht="12.75" hidden="1" customHeight="1" thickBot="1">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3"/>
      <c r="Q879" s="23"/>
      <c r="R879" s="23"/>
      <c r="S879" s="23"/>
      <c r="T879" s="23"/>
      <c r="U879" s="23"/>
      <c r="V879" s="30"/>
      <c r="W879" s="30"/>
      <c r="X879" s="30"/>
      <c r="Y879" s="494"/>
      <c r="Z879" s="30"/>
      <c r="AA879" s="30"/>
      <c r="AB879" s="30"/>
      <c r="AC879" s="1172" t="b">
        <f>AC877</f>
        <v>0</v>
      </c>
      <c r="AD879" s="30"/>
      <c r="AE879" s="30"/>
      <c r="AF879" s="58"/>
      <c r="AG879" s="30"/>
      <c r="AH879" s="30"/>
      <c r="AI879" s="30"/>
      <c r="AJ879" s="504"/>
      <c r="AK879" s="504"/>
      <c r="AL879" s="342"/>
      <c r="AM879" s="30"/>
      <c r="AN879" s="30"/>
      <c r="AO879" s="30"/>
      <c r="AP879" s="30"/>
      <c r="AQ879" s="30"/>
      <c r="AR879" s="30"/>
      <c r="AS879" s="30"/>
      <c r="AT879" s="1172"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2" t="b">
        <f>OR(BZ877,AND(NOT(ISBLANK(L877)),L877=FALSE))</f>
        <v>1</v>
      </c>
    </row>
    <row r="880" spans="1:78" s="142" customFormat="1" ht="5.0999999999999996" hidden="1" customHeight="1">
      <c r="A880" s="808"/>
      <c r="B880" s="166"/>
      <c r="C880" s="166"/>
      <c r="D880" s="166"/>
      <c r="E880" s="166"/>
      <c r="F880" s="166"/>
      <c r="G880" s="166"/>
      <c r="M880" s="143"/>
      <c r="N880" s="143"/>
      <c r="O880" s="733"/>
      <c r="P880" s="23"/>
      <c r="Q880" s="23"/>
      <c r="R880" s="23"/>
      <c r="S880" s="23"/>
      <c r="T880" s="23"/>
      <c r="U880" s="23"/>
      <c r="V880" s="30"/>
      <c r="W880" s="30"/>
      <c r="X880" s="30"/>
      <c r="Y880" s="494"/>
      <c r="Z880" s="30"/>
      <c r="AA880" s="30"/>
      <c r="AB880" s="30"/>
      <c r="AC880" s="30"/>
      <c r="AD880" s="30"/>
      <c r="AE880" s="30"/>
      <c r="AF880" s="58"/>
      <c r="AG880" s="30"/>
      <c r="AH880" s="30"/>
      <c r="AI880" s="30"/>
      <c r="AJ880" s="504"/>
      <c r="AK880" s="504"/>
      <c r="AL880" s="342"/>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hidden="1" customHeight="1" thickBot="1">
      <c r="A881" s="808"/>
      <c r="B881" s="166"/>
      <c r="C881" s="166"/>
      <c r="D881" s="166"/>
      <c r="E881" s="166"/>
      <c r="F881" s="506" t="str">
        <f>Translations!$B$333</f>
        <v>Pakopa</v>
      </c>
      <c r="G881" s="1557" t="str">
        <f>Translations!$B$672</f>
        <v>pakopos aprašas</v>
      </c>
      <c r="H881" s="1557"/>
      <c r="I881" s="1555" t="str">
        <f>Translations!$B$158</f>
        <v>Vienetas</v>
      </c>
      <c r="J881" s="1555"/>
      <c r="K881" s="1555" t="str">
        <f>Translations!$B$673</f>
        <v>Vertė</v>
      </c>
      <c r="L881" s="1555"/>
      <c r="M881" s="507" t="str">
        <f>Translations!$B$610</f>
        <v>klaida</v>
      </c>
      <c r="O881" s="733"/>
      <c r="P881" s="508"/>
      <c r="Q881" s="352" t="str">
        <f>EUconst_SumEnergyIN &amp; "_" &amp; K872</f>
        <v>SUM_EnergyIN_</v>
      </c>
      <c r="R881" s="399" t="str">
        <f>IF(OR(K872="",T873)=TRUE,"",INDEX(BC887:BE887,MATCH(K872,BC882:BE882,0)))</f>
        <v/>
      </c>
      <c r="S881" s="30"/>
      <c r="T881" s="489"/>
      <c r="U881" s="30"/>
      <c r="V881" s="509" t="s">
        <v>303</v>
      </c>
      <c r="W881" s="30"/>
      <c r="X881" s="30"/>
      <c r="Y881" s="494" t="s">
        <v>566</v>
      </c>
      <c r="Z881" s="494" t="s">
        <v>318</v>
      </c>
      <c r="AA881" s="30"/>
      <c r="AB881" s="30"/>
      <c r="AC881" s="505" t="s">
        <v>309</v>
      </c>
      <c r="AD881" s="30"/>
      <c r="AE881" s="30"/>
      <c r="AF881" s="492" t="s">
        <v>305</v>
      </c>
      <c r="AG881" s="492" t="s">
        <v>306</v>
      </c>
      <c r="AH881" s="494" t="s">
        <v>304</v>
      </c>
      <c r="AI881" s="504" t="s">
        <v>307</v>
      </c>
      <c r="AJ881" s="504" t="s">
        <v>567</v>
      </c>
      <c r="AK881" s="510" t="s">
        <v>311</v>
      </c>
      <c r="AL881" s="342"/>
      <c r="AM881" s="30"/>
      <c r="AN881" s="492" t="s">
        <v>305</v>
      </c>
      <c r="AO881" s="492" t="s">
        <v>306</v>
      </c>
      <c r="AP881" s="511" t="s">
        <v>310</v>
      </c>
      <c r="AQ881" s="504" t="s">
        <v>569</v>
      </c>
      <c r="AR881" s="504" t="s">
        <v>568</v>
      </c>
      <c r="AS881" s="510" t="s">
        <v>609</v>
      </c>
      <c r="AT881" s="510" t="s">
        <v>609</v>
      </c>
      <c r="AU881" s="30"/>
      <c r="AV881" s="492"/>
      <c r="AW881" s="492"/>
      <c r="AX881" s="492" t="s">
        <v>321</v>
      </c>
      <c r="AY881" s="492"/>
      <c r="AZ881" s="492"/>
      <c r="BA881" s="492"/>
      <c r="BB881" s="492"/>
      <c r="BC881" s="492"/>
      <c r="BD881" s="492"/>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3" t="s">
        <v>262</v>
      </c>
    </row>
    <row r="882" spans="1:78" s="142" customFormat="1" ht="12.75" hidden="1" customHeight="1" thickBot="1">
      <c r="A882" s="808"/>
      <c r="B882" s="166"/>
      <c r="C882" s="777" t="s">
        <v>196</v>
      </c>
      <c r="D882" s="512" t="str">
        <f>Translations!$B$622</f>
        <v>VD:</v>
      </c>
      <c r="E882" s="513"/>
      <c r="F882" s="402"/>
      <c r="G882" s="1532" t="str">
        <f>IF(OR(ISBLANK(F882),F882=EUconst_NoTier),"",IF(Z882=0,EUconst_NA,IF(ISERROR(Z882),"",Z882)))</f>
        <v/>
      </c>
      <c r="H882" s="1533"/>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0"/>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0"/>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0"/>
      <c r="AV882" s="492" t="s">
        <v>314</v>
      </c>
      <c r="AW882" s="492" t="s">
        <v>319</v>
      </c>
      <c r="AX882" s="524"/>
      <c r="AY882" s="30" t="s">
        <v>542</v>
      </c>
      <c r="AZ882" s="30"/>
      <c r="BA882" s="30"/>
      <c r="BB882" s="504"/>
      <c r="BC882" s="493" t="str">
        <f>EUconst_Fuel</f>
        <v>Degimas</v>
      </c>
      <c r="BD882" s="493" t="str">
        <f>EUconst_ProcessCarbonate</f>
        <v>Proceso metu išsiskiriančios ŠESD</v>
      </c>
      <c r="BE882" s="493"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4" t="b">
        <f>BZ877</f>
        <v>1</v>
      </c>
    </row>
    <row r="883" spans="1:78" s="142" customFormat="1" ht="5.0999999999999996" hidden="1" customHeight="1">
      <c r="A883" s="808"/>
      <c r="B883" s="166"/>
      <c r="C883" s="814"/>
      <c r="D883" s="306"/>
      <c r="F883" s="143"/>
      <c r="G883" s="143"/>
      <c r="H883" s="143" t="s">
        <v>236</v>
      </c>
      <c r="I883" s="525"/>
      <c r="J883" s="525"/>
      <c r="K883" s="143"/>
      <c r="L883" s="143"/>
      <c r="M883" s="710"/>
      <c r="O883" s="733"/>
      <c r="P883" s="33"/>
      <c r="Q883" s="33"/>
      <c r="R883" s="33"/>
      <c r="S883" s="30"/>
      <c r="T883" s="155"/>
      <c r="U883" s="497"/>
      <c r="V883" s="30"/>
      <c r="W883" s="30"/>
      <c r="X883" s="497"/>
      <c r="Y883" s="526"/>
      <c r="Z883" s="30"/>
      <c r="AA883" s="30"/>
      <c r="AB883" s="30"/>
      <c r="AC883" s="30"/>
      <c r="AD883" s="30"/>
      <c r="AE883" s="30"/>
      <c r="AF883" s="30"/>
      <c r="AG883" s="30"/>
      <c r="AH883" s="30"/>
      <c r="AI883" s="30"/>
      <c r="AJ883" s="30"/>
      <c r="AK883" s="30"/>
      <c r="AL883" s="342"/>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3"/>
    </row>
    <row r="884" spans="1:78" s="142" customFormat="1" ht="12.75" hidden="1" customHeight="1" thickBot="1">
      <c r="A884" s="808"/>
      <c r="B884" s="166"/>
      <c r="C884" s="814" t="s">
        <v>197</v>
      </c>
      <c r="D884" s="512" t="str">
        <f>Translations!$B$634</f>
        <v>(prelim.) ITF:</v>
      </c>
      <c r="E884" s="513"/>
      <c r="F884" s="527"/>
      <c r="G884" s="1532" t="str">
        <f t="shared" ref="G884:G890" si="210">IF(OR(ISBLANK(F884),F884=EUconst_NoTier),"",IF(Z884=0,EUconst_NotApplicable,IF(ISERROR(Z884),"",Z884)))</f>
        <v/>
      </c>
      <c r="H884" s="1556"/>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3"/>
      <c r="Q884" s="33"/>
      <c r="R884" s="33"/>
      <c r="S884" s="30"/>
      <c r="T884" s="530" t="str">
        <f>EUconst_CNTR_EF&amp;E873</f>
        <v>EF_</v>
      </c>
      <c r="U884" s="497"/>
      <c r="V884" s="531" t="str">
        <f>V882</f>
        <v/>
      </c>
      <c r="W884" s="30"/>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0"/>
      <c r="AC884" s="535" t="b">
        <f>AND(AC882,Y884&lt;&gt;EUconst_NA)</f>
        <v>0</v>
      </c>
      <c r="AD884" s="30"/>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0"/>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0"/>
      <c r="BA884" s="30"/>
      <c r="BB884" s="547" t="s">
        <v>594</v>
      </c>
      <c r="BC884" s="546" t="str">
        <f>IF(K872=BC882,AR882*IF(AJ884=EUconst_tCO2pTJ,(AR885/1000),1)*AR884*AR886*AR890,"")</f>
        <v/>
      </c>
      <c r="BD884" s="524" t="str">
        <f>IF(K872=BD882,AR882*AR884*AR887*AR890,"")</f>
        <v/>
      </c>
      <c r="BE884" s="523"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1" t="b">
        <f>OR(BZ882,Y884=EUconst_NA)</f>
        <v>1</v>
      </c>
    </row>
    <row r="885" spans="1:78" s="142" customFormat="1" ht="12.75" hidden="1" customHeight="1" thickBot="1">
      <c r="A885" s="808"/>
      <c r="B885" s="166"/>
      <c r="C885" s="814" t="s">
        <v>198</v>
      </c>
      <c r="D885" s="512" t="str">
        <f>Translations!$B$636</f>
        <v>GŠV:</v>
      </c>
      <c r="E885" s="513"/>
      <c r="F885" s="548"/>
      <c r="G885" s="1532" t="str">
        <f t="shared" si="210"/>
        <v/>
      </c>
      <c r="H885" s="1533"/>
      <c r="I885" s="1169" t="str">
        <f>AJ885</f>
        <v/>
      </c>
      <c r="J885" s="549"/>
      <c r="K885" s="550" t="str">
        <f t="shared" si="211"/>
        <v/>
      </c>
      <c r="L885" s="551"/>
      <c r="M885" s="709" t="str">
        <f>IF(AND(E873&lt;&gt;"",OR(F885="",COUNT(K885:L885)=0),Y885&lt;&gt;EUconst_NA,T873&lt;&gt;TRUE),EUconst_ERR_Incomplete,IF(COUNTIF(AX885:AZ885,TRUE)&gt;0,EUconst_ERR_Inconsistent,""))</f>
        <v/>
      </c>
      <c r="O885" s="733"/>
      <c r="P885" s="33"/>
      <c r="Q885" s="33"/>
      <c r="R885" s="33"/>
      <c r="S885" s="30"/>
      <c r="T885" s="552" t="str">
        <f>EUconst_CNTR_NCV&amp;E873</f>
        <v>NCV_</v>
      </c>
      <c r="U885" s="497"/>
      <c r="V885" s="553" t="str">
        <f t="shared" ref="V885:V890" si="216">V884</f>
        <v/>
      </c>
      <c r="W885" s="30"/>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0"/>
      <c r="AC885" s="557" t="b">
        <f>AND(AC882,Y885&lt;&gt;EUconst_NA)</f>
        <v>0</v>
      </c>
      <c r="AD885" s="30"/>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0"/>
      <c r="AV885" s="567" t="b">
        <f t="shared" si="213"/>
        <v>0</v>
      </c>
      <c r="AW885" s="568" t="b">
        <f t="shared" si="214"/>
        <v>0</v>
      </c>
      <c r="AX885" s="30"/>
      <c r="AY885" s="553" t="b">
        <f t="shared" si="215"/>
        <v>0</v>
      </c>
      <c r="AZ885" s="30"/>
      <c r="BA885" s="30"/>
      <c r="BB885" s="547" t="s">
        <v>595</v>
      </c>
      <c r="BC885" s="546" t="str">
        <f>IF(K872=BC882,AR882*IF(AJ884=EUconst_tCO2pTJ,(AR885/1000),1)*AR884*AR886*AR889,"")</f>
        <v/>
      </c>
      <c r="BD885" s="524" t="str">
        <f>IF(K872=BD882,AR882*AR884*AR887*AR889,"")</f>
        <v/>
      </c>
      <c r="BE885" s="523"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3" t="b">
        <f>OR(BZ882,Y885=EUconst_NA)</f>
        <v>1</v>
      </c>
    </row>
    <row r="886" spans="1:78" s="142" customFormat="1" ht="12.75" hidden="1" customHeight="1" thickBot="1">
      <c r="A886" s="808"/>
      <c r="B886" s="166"/>
      <c r="C886" s="814" t="s">
        <v>199</v>
      </c>
      <c r="D886" s="512" t="str">
        <f>Translations!$B$638</f>
        <v>OksK:</v>
      </c>
      <c r="E886" s="513"/>
      <c r="F886" s="548"/>
      <c r="G886" s="1532" t="str">
        <f t="shared" si="210"/>
        <v/>
      </c>
      <c r="H886" s="1533"/>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3"/>
      <c r="Q886" s="33"/>
      <c r="R886" s="33"/>
      <c r="S886" s="30"/>
      <c r="T886" s="552" t="str">
        <f>EUconst_CNTR_OxidationFactor&amp;E873</f>
        <v>OxF_</v>
      </c>
      <c r="U886" s="497"/>
      <c r="V886" s="553" t="str">
        <f t="shared" si="216"/>
        <v/>
      </c>
      <c r="W886" s="30"/>
      <c r="X886" s="497"/>
      <c r="Y886" s="554" t="str">
        <f>IF(OR(T873=TRUE,E873=""),"",INDEX(EUwideConstants!$N:$N,MATCH(T886,EUwideConstants!$Q:$Q,0)))</f>
        <v/>
      </c>
      <c r="Z886" s="555" t="str">
        <f>IF(ISBLANK(F886),"",IF(F886=EUconst_NA,"",INDEX(EUwideConstants!$H:$M,MATCH(T886,EUwideConstants!$Q:$Q,0),MATCH(F886,CNTR_TierList,0))))</f>
        <v/>
      </c>
      <c r="AA886" s="534" t="str">
        <f>IF(F886=1,1,"")</f>
        <v/>
      </c>
      <c r="AB886" s="30"/>
      <c r="AC886" s="557" t="b">
        <f>AND(AC882,Y886&lt;&gt;EUconst_NA)</f>
        <v>0</v>
      </c>
      <c r="AD886" s="30"/>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0"/>
      <c r="AV886" s="567" t="b">
        <f t="shared" si="213"/>
        <v>0</v>
      </c>
      <c r="AW886" s="568" t="b">
        <f t="shared" si="214"/>
        <v>0</v>
      </c>
      <c r="AX886" s="30"/>
      <c r="AY886" s="594" t="b">
        <f t="shared" si="215"/>
        <v>0</v>
      </c>
      <c r="AZ886" s="531" t="b">
        <f>AR886&gt;100%</f>
        <v>0</v>
      </c>
      <c r="BA886" s="30"/>
      <c r="BB886" s="547" t="s">
        <v>290</v>
      </c>
      <c r="BC886" s="546" t="str">
        <f>IF(K872=BC882,AR882*IF(AJ884=EUconst_tCO2pTJ,(AR885/1000),1)*AR884*AR886*(1-AR889),"")</f>
        <v/>
      </c>
      <c r="BD886" s="524" t="str">
        <f>IF(K872=BD882,AR882*AR884*AR887*(1-AR889),"")</f>
        <v/>
      </c>
      <c r="BE886" s="523"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3" t="b">
        <f>OR(BZ882,Y886=EUconst_NA)</f>
        <v>1</v>
      </c>
    </row>
    <row r="887" spans="1:78" s="142" customFormat="1" ht="12.75" hidden="1" customHeight="1" thickBot="1">
      <c r="A887" s="808"/>
      <c r="B887" s="166"/>
      <c r="C887" s="814" t="s">
        <v>200</v>
      </c>
      <c r="D887" s="512" t="str">
        <f>Translations!$B$639</f>
        <v>KonvK:</v>
      </c>
      <c r="E887" s="513"/>
      <c r="F887" s="548"/>
      <c r="G887" s="1532" t="str">
        <f t="shared" si="210"/>
        <v/>
      </c>
      <c r="H887" s="1533"/>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3"/>
      <c r="Q887" s="33"/>
      <c r="R887" s="33"/>
      <c r="S887" s="30"/>
      <c r="T887" s="552" t="str">
        <f>EUconst_CNTR_ConversionFactor&amp;E873</f>
        <v>ConvF_</v>
      </c>
      <c r="U887" s="497"/>
      <c r="V887" s="553" t="str">
        <f t="shared" si="216"/>
        <v/>
      </c>
      <c r="W887" s="30"/>
      <c r="X887" s="497"/>
      <c r="Y887" s="554" t="str">
        <f>IF(OR(T873=TRUE,E873=""),"",INDEX(EUwideConstants!$N:$N,MATCH(T887,EUwideConstants!$Q:$Q,0)))</f>
        <v/>
      </c>
      <c r="Z887" s="555" t="str">
        <f>IF(ISBLANK(F887),"",IF(F887=EUconst_NA,"",INDEX(EUwideConstants!$H:$M,MATCH(T887,EUwideConstants!$Q:$Q,0),MATCH(F887,CNTR_TierList,0))))</f>
        <v/>
      </c>
      <c r="AA887" s="582" t="str">
        <f>IF(F887=1,1,"")</f>
        <v/>
      </c>
      <c r="AB887" s="30"/>
      <c r="AC887" s="557" t="b">
        <f>AND(AC882,Y887&lt;&gt;EUconst_NA)</f>
        <v>0</v>
      </c>
      <c r="AD887" s="30"/>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0"/>
      <c r="AV887" s="567" t="b">
        <f t="shared" si="213"/>
        <v>0</v>
      </c>
      <c r="AW887" s="568" t="b">
        <f t="shared" si="214"/>
        <v>0</v>
      </c>
      <c r="AX887" s="30"/>
      <c r="AY887" s="594" t="b">
        <f t="shared" si="215"/>
        <v>0</v>
      </c>
      <c r="AZ887" s="580" t="b">
        <f>AR887&gt;100%</f>
        <v>0</v>
      </c>
      <c r="BA887" s="30"/>
      <c r="BB887" s="578" t="s">
        <v>487</v>
      </c>
      <c r="BC887" s="579">
        <f>AR882*AR885/1000*(1-AR889)</f>
        <v>0</v>
      </c>
      <c r="BD887" s="580">
        <f>BC887</f>
        <v>0</v>
      </c>
      <c r="BE887" s="581">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3" t="b">
        <f>OR(BZ882,Y887=EUconst_NA)</f>
        <v>1</v>
      </c>
    </row>
    <row r="888" spans="1:78" s="142" customFormat="1" ht="12.75" hidden="1" customHeight="1" thickBot="1">
      <c r="A888" s="808"/>
      <c r="B888" s="166"/>
      <c r="C888" s="814" t="s">
        <v>329</v>
      </c>
      <c r="D888" s="512" t="str">
        <f>Translations!$B$640</f>
        <v>AnglK:</v>
      </c>
      <c r="E888" s="513"/>
      <c r="F888" s="548"/>
      <c r="G888" s="1532" t="str">
        <f t="shared" si="210"/>
        <v/>
      </c>
      <c r="H888" s="1533"/>
      <c r="I888" s="1170" t="str">
        <f>AJ888</f>
        <v/>
      </c>
      <c r="J888" s="586"/>
      <c r="K888" s="587" t="str">
        <f t="shared" si="211"/>
        <v/>
      </c>
      <c r="L888" s="588"/>
      <c r="M888" s="709" t="str">
        <f>IF(AND(E873&lt;&gt;"",OR(F888="",COUNT(K888:L888)=0),Y888&lt;&gt;EUconst_NA,T873&lt;&gt;TRUE),EUconst_ERR_Incomplete,IF(COUNTIF(AX888:AZ888,TRUE)&gt;0,EUconst_ERR_Inconsistent,""))</f>
        <v/>
      </c>
      <c r="O888" s="733"/>
      <c r="P888" s="33"/>
      <c r="Q888" s="33"/>
      <c r="R888" s="33"/>
      <c r="S888" s="30"/>
      <c r="T888" s="552" t="str">
        <f>EUconst_CNTR_CarbonContent&amp;E873</f>
        <v>CarbC_</v>
      </c>
      <c r="U888" s="497"/>
      <c r="V888" s="553" t="str">
        <f t="shared" si="216"/>
        <v/>
      </c>
      <c r="W888" s="30"/>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0"/>
      <c r="AC888" s="557" t="b">
        <f>AND(AC882,Y888&lt;&gt;EUconst_NA)</f>
        <v>0</v>
      </c>
      <c r="AD888" s="30"/>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0"/>
      <c r="AV888" s="567" t="b">
        <f t="shared" si="213"/>
        <v>0</v>
      </c>
      <c r="AW888" s="568" t="b">
        <f t="shared" si="214"/>
        <v>0</v>
      </c>
      <c r="AX888" s="546" t="b">
        <f>OR(AND(AJ882=EUconst_kNm3,AJ888=EUconst_tCpt),AND(AJ882=EUconst_t,AJ888=EUconst_tCpkNm3))</f>
        <v>0</v>
      </c>
      <c r="AY888" s="553" t="b">
        <f t="shared" si="215"/>
        <v>0</v>
      </c>
      <c r="AZ888" s="30"/>
      <c r="BA888" s="30"/>
      <c r="BB888" s="578" t="s">
        <v>488</v>
      </c>
      <c r="BC888" s="579">
        <f>AR882*AR885/1000*AR889</f>
        <v>0</v>
      </c>
      <c r="BD888" s="580">
        <f>BC888</f>
        <v>0</v>
      </c>
      <c r="BE888" s="581">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3" t="b">
        <f>OR(BZ882,Y888=EUconst_NA)</f>
        <v>1</v>
      </c>
    </row>
    <row r="889" spans="1:78" s="142" customFormat="1" ht="12.75" hidden="1" customHeight="1">
      <c r="A889" s="808"/>
      <c r="B889" s="166"/>
      <c r="C889" s="777" t="s">
        <v>330</v>
      </c>
      <c r="D889" s="512" t="str">
        <f>Translations!$B$641</f>
        <v>BioC:</v>
      </c>
      <c r="E889" s="513"/>
      <c r="F889" s="548"/>
      <c r="G889" s="1532" t="str">
        <f t="shared" si="210"/>
        <v/>
      </c>
      <c r="H889" s="1533"/>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0"/>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0"/>
      <c r="AC889" s="557" t="b">
        <f>AND(AC882,Y889&lt;&gt;EUconst_NA)</f>
        <v>0</v>
      </c>
      <c r="AD889" s="30"/>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0"/>
      <c r="AV889" s="567" t="b">
        <f t="shared" si="213"/>
        <v>0</v>
      </c>
      <c r="AW889" s="568" t="b">
        <f t="shared" si="214"/>
        <v>0</v>
      </c>
      <c r="AX889" s="30"/>
      <c r="AY889" s="594" t="b">
        <f t="shared" si="215"/>
        <v>0</v>
      </c>
      <c r="AZ889" s="531"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3" t="b">
        <f>OR(BZ882,Y889=EUconst_NA)</f>
        <v>1</v>
      </c>
    </row>
    <row r="890" spans="1:78" s="142" customFormat="1" ht="12.75" hidden="1" customHeight="1" thickBot="1">
      <c r="A890" s="808"/>
      <c r="B890" s="166"/>
      <c r="C890" s="777" t="s">
        <v>454</v>
      </c>
      <c r="D890" s="512" t="str">
        <f>Translations!$B$647</f>
        <v>Netvar. BioC:</v>
      </c>
      <c r="E890" s="513"/>
      <c r="F890" s="597"/>
      <c r="G890" s="1532" t="str">
        <f t="shared" si="210"/>
        <v/>
      </c>
      <c r="H890" s="1533"/>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0"/>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0"/>
      <c r="AC890" s="603" t="b">
        <f>AND(AC882,Y890&lt;&gt;EUconst_NA)</f>
        <v>0</v>
      </c>
      <c r="AD890" s="30"/>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0"/>
      <c r="AV890" s="613" t="b">
        <f t="shared" si="213"/>
        <v>0</v>
      </c>
      <c r="AW890" s="614" t="b">
        <f t="shared" si="214"/>
        <v>0</v>
      </c>
      <c r="AX890" s="30"/>
      <c r="AY890" s="579" t="b">
        <f t="shared" si="215"/>
        <v>0</v>
      </c>
      <c r="AZ890" s="580"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80" t="b">
        <f>OR(BZ882,Y890=EUconst_NA)</f>
        <v>1</v>
      </c>
    </row>
    <row r="891" spans="1:78" s="142" customFormat="1" ht="4.5" hidden="1" customHeight="1">
      <c r="A891" s="808"/>
      <c r="B891" s="166"/>
      <c r="C891" s="166"/>
      <c r="D891" s="180"/>
      <c r="O891" s="733"/>
      <c r="P891" s="33"/>
      <c r="Q891" s="33"/>
      <c r="R891" s="33"/>
      <c r="S891" s="174"/>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hidden="1" customHeight="1">
      <c r="A892" s="808"/>
      <c r="B892" s="166"/>
      <c r="C892" s="166"/>
      <c r="D892" s="1558" t="str">
        <f>Translations!$B$674</f>
        <v>Pakopos galioja nuo:</v>
      </c>
      <c r="E892" s="1558"/>
      <c r="F892" s="1559"/>
      <c r="G892" s="1052"/>
      <c r="H892" s="615" t="str">
        <f>Translations!$B$675</f>
        <v>iki:</v>
      </c>
      <c r="I892" s="1052"/>
      <c r="J892" s="1536" t="str">
        <f>Translations!$B$676</f>
        <v>Atliekų katalogo numeris (jeigu taikytina):</v>
      </c>
      <c r="K892" s="1537"/>
      <c r="L892" s="1537"/>
      <c r="M892" s="1538"/>
      <c r="N892" s="1289"/>
      <c r="O892" s="733"/>
      <c r="P892" s="33"/>
      <c r="Q892" s="33"/>
      <c r="R892" s="33"/>
      <c r="S892" s="1290"/>
      <c r="T892" s="492"/>
      <c r="U892" s="492"/>
      <c r="V892" s="48" t="b">
        <f>IF(V882="",FALSE,INDEX(CNTR_IsWaste,MATCH(V882,MSParameters!$A$218:$A$376,0)))</f>
        <v>0</v>
      </c>
      <c r="W892" s="1290"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hidden="1" customHeight="1">
      <c r="A893" s="808"/>
      <c r="B893" s="166"/>
      <c r="C893" s="166"/>
      <c r="D893" s="615"/>
      <c r="E893" s="495"/>
      <c r="F893" s="495"/>
      <c r="G893" s="495"/>
      <c r="H893" s="495"/>
      <c r="I893" s="495"/>
      <c r="J893" s="495"/>
      <c r="K893" s="495"/>
      <c r="L893" s="495"/>
      <c r="M893" s="495"/>
      <c r="N893" s="495"/>
      <c r="O893" s="733"/>
      <c r="P893" s="33"/>
      <c r="Q893" s="33"/>
      <c r="R893" s="33"/>
      <c r="S893" s="174"/>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hidden="1" customHeight="1">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3"/>
      <c r="Q894" s="33"/>
      <c r="R894" s="33"/>
      <c r="S894" s="174"/>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hidden="1" customHeight="1">
      <c r="A895" s="815"/>
      <c r="D895" s="180"/>
      <c r="O895" s="573"/>
      <c r="P895" s="497"/>
      <c r="Q895" s="497"/>
      <c r="R895" s="497"/>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ht="4.5" hidden="1" customHeight="1">
      <c r="A896" s="815"/>
      <c r="D896" s="1534" t="str">
        <f>Translations!$B$160</f>
        <v>Pastabos:</v>
      </c>
      <c r="E896" s="1535"/>
      <c r="F896" s="1539"/>
      <c r="G896" s="1540"/>
      <c r="H896" s="1540"/>
      <c r="I896" s="1540"/>
      <c r="J896" s="1540"/>
      <c r="K896" s="1540"/>
      <c r="L896" s="1540"/>
      <c r="M896" s="1540"/>
      <c r="N896" s="1541"/>
      <c r="O896" s="573"/>
      <c r="P896" s="497"/>
      <c r="Q896" s="497"/>
      <c r="R896" s="497"/>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c r="A897" s="808"/>
      <c r="B897" s="495"/>
      <c r="C897" s="499"/>
      <c r="D897" s="500"/>
      <c r="E897" s="501"/>
      <c r="F897" s="499"/>
      <c r="G897" s="502"/>
      <c r="H897" s="502"/>
      <c r="I897" s="502"/>
      <c r="J897" s="502"/>
      <c r="K897" s="502"/>
      <c r="L897" s="502"/>
      <c r="M897" s="502"/>
      <c r="N897" s="502"/>
      <c r="O897" s="740"/>
      <c r="P897" s="494"/>
      <c r="Q897" s="494"/>
      <c r="R897" s="494"/>
      <c r="S897" s="58"/>
      <c r="T897" s="58"/>
      <c r="U897" s="498"/>
      <c r="V897" s="58"/>
      <c r="W897" s="58"/>
      <c r="X897" s="49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c r="A898" s="813"/>
      <c r="B898" s="495"/>
      <c r="C898" s="495"/>
      <c r="D898" s="180"/>
      <c r="E898" s="496"/>
      <c r="F898" s="495"/>
      <c r="G898" s="487"/>
      <c r="H898" s="487"/>
      <c r="I898" s="487"/>
      <c r="J898" s="487"/>
      <c r="K898" s="495"/>
      <c r="L898" s="487"/>
      <c r="M898" s="487"/>
      <c r="N898" s="487"/>
      <c r="O898" s="740"/>
      <c r="P898" s="494"/>
      <c r="Q898" s="494"/>
      <c r="R898" s="494"/>
      <c r="S898" s="23"/>
      <c r="T898" s="27" t="str">
        <f>IF(ISBLANK(E899),"",MATCH(E899,CNTR_SourceStreamNames,0))</f>
        <v/>
      </c>
      <c r="U898" s="618"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1"/>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3" t="s">
        <v>262</v>
      </c>
    </row>
    <row r="899" spans="1:78" s="142" customFormat="1" ht="15" hidden="1" customHeight="1" thickBot="1">
      <c r="A899" s="869" t="str">
        <f>IF(E899="","","PRINT")</f>
        <v/>
      </c>
      <c r="B899" s="166"/>
      <c r="C899" s="617">
        <f>C872+1</f>
        <v>32</v>
      </c>
      <c r="D899" s="166"/>
      <c r="E899" s="1542"/>
      <c r="F899" s="1543"/>
      <c r="G899" s="1543"/>
      <c r="H899" s="1543"/>
      <c r="I899" s="1543"/>
      <c r="J899" s="1544"/>
      <c r="K899" s="1545" t="str">
        <f>IF(E900="","",INDEX(EUwideConstants!$F$353:$F$394,MATCH(E900,EUConst_TierActivityListNames,0)))</f>
        <v/>
      </c>
      <c r="L899" s="1546"/>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3"/>
      <c r="T899" s="509" t="s">
        <v>393</v>
      </c>
      <c r="U899" s="23"/>
      <c r="V899" s="78"/>
      <c r="W899" s="56"/>
      <c r="X899" s="58"/>
      <c r="Y899" s="58"/>
      <c r="Z899" s="58"/>
      <c r="AA899" s="58"/>
      <c r="AB899" s="58"/>
      <c r="AC899" s="58"/>
      <c r="AD899" s="58"/>
      <c r="AE899" s="58"/>
      <c r="AF899" s="58"/>
      <c r="AG899" s="58"/>
      <c r="AH899" s="58"/>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6"/>
      <c r="BZ899" s="619" t="b">
        <f>CNTR_CalcRelevant=EUconst_NotRelevant</f>
        <v>0</v>
      </c>
    </row>
    <row r="900" spans="1:78" s="142" customFormat="1" ht="15" hidden="1" customHeight="1" thickBot="1">
      <c r="A900" s="808"/>
      <c r="B900" s="166"/>
      <c r="C900" s="166"/>
      <c r="D900" s="166"/>
      <c r="E900" s="1547" t="str">
        <f>IF(ISBLANK(E899),"",IF(INDEX(B_InstallationDescription!$E$71:$E$145,MATCH(U898,B_InstallationDescription!$D$71:$D$145,0))&gt;0,INDEX(B_InstallationDescription!$E$71:$E$145,MATCH(U898,B_InstallationDescription!$D$71:$D$145,0)),""))</f>
        <v/>
      </c>
      <c r="F900" s="1548"/>
      <c r="G900" s="1548"/>
      <c r="H900" s="1548"/>
      <c r="I900" s="1548"/>
      <c r="J900" s="1549"/>
      <c r="M900" s="346" t="str">
        <f>Translations!$B$666</f>
        <v>CO2, biomasės kilmės.:</v>
      </c>
      <c r="N900" s="1051" t="str">
        <f>IF(OR(K899="",T900=TRUE),"",INDEX(BC912:BE912,MATCH(K899,BC909:BE909,0)))</f>
        <v/>
      </c>
      <c r="O900" s="742" t="s">
        <v>260</v>
      </c>
      <c r="P900" s="494"/>
      <c r="Q900" s="352" t="str">
        <f>EUconst_SumBioCO2 &amp; "_" &amp; K899</f>
        <v>SUM_bioCO2_</v>
      </c>
      <c r="R900" s="494"/>
      <c r="S900" s="23"/>
      <c r="T900" s="48" t="str">
        <f>IF(E900="","",MATCH(E900,EUConst_TierActivityListNames,0)&gt;40)</f>
        <v/>
      </c>
      <c r="U900" s="23"/>
      <c r="V900" s="78"/>
      <c r="W900" s="56"/>
      <c r="X900" s="58"/>
      <c r="Y900" s="27" t="s">
        <v>93</v>
      </c>
      <c r="Z900" s="30"/>
      <c r="AA900" s="30"/>
      <c r="AB900" s="30"/>
      <c r="AC900" s="30"/>
      <c r="AD900" s="30"/>
      <c r="AE900" s="27" t="s">
        <v>302</v>
      </c>
      <c r="AF900" s="58"/>
      <c r="AG900" s="504"/>
      <c r="AH900" s="30"/>
      <c r="AI900" s="30"/>
      <c r="AJ900" s="504"/>
      <c r="AK900" s="504"/>
      <c r="AL900" s="342"/>
      <c r="AM900" s="27" t="s">
        <v>308</v>
      </c>
      <c r="AN900" s="505"/>
      <c r="AO900" s="505"/>
      <c r="AP900" s="30"/>
      <c r="AQ900" s="30"/>
      <c r="AR900" s="30"/>
      <c r="AS900" s="30"/>
      <c r="AT900" s="30"/>
      <c r="AU900" s="30"/>
      <c r="AV900" s="27" t="s">
        <v>315</v>
      </c>
      <c r="AW900" s="30"/>
      <c r="AX900" s="492"/>
      <c r="AY900" s="30"/>
      <c r="AZ900" s="30"/>
      <c r="BA900" s="30"/>
      <c r="BB900" s="27" t="s">
        <v>219</v>
      </c>
      <c r="BC900" s="30"/>
      <c r="BD900" s="30"/>
      <c r="BE900" s="30"/>
      <c r="BF900" s="30"/>
      <c r="BG900" s="27"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0"/>
      <c r="BZ900" s="30"/>
    </row>
    <row r="901" spans="1:78" s="142" customFormat="1" ht="5.0999999999999996" hidden="1" customHeight="1">
      <c r="A901" s="808"/>
      <c r="B901" s="166"/>
      <c r="C901" s="166"/>
      <c r="D901" s="166"/>
      <c r="E901" s="166"/>
      <c r="F901" s="166"/>
      <c r="G901" s="166"/>
      <c r="M901" s="143"/>
      <c r="N901" s="143"/>
      <c r="O901" s="733"/>
      <c r="P901" s="33"/>
      <c r="Q901" s="33"/>
      <c r="R901" s="33"/>
      <c r="S901" s="23"/>
      <c r="T901" s="23"/>
      <c r="U901" s="23"/>
      <c r="V901" s="78"/>
      <c r="W901" s="30"/>
      <c r="X901" s="30"/>
      <c r="Y901" s="494"/>
      <c r="Z901" s="30"/>
      <c r="AA901" s="30"/>
      <c r="AB901" s="30"/>
      <c r="AC901" s="30"/>
      <c r="AD901" s="30"/>
      <c r="AE901" s="30"/>
      <c r="AF901" s="58"/>
      <c r="AG901" s="30"/>
      <c r="AH901" s="30"/>
      <c r="AI901" s="30"/>
      <c r="AJ901" s="504"/>
      <c r="AK901" s="504"/>
      <c r="AL901" s="342"/>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hidden="1" customHeight="1" thickBot="1">
      <c r="A902" s="808"/>
      <c r="B902" s="166"/>
      <c r="C902" s="166"/>
      <c r="D902" s="166"/>
      <c r="E902" s="1550" t="str">
        <f>IF(E899="","",IF(T900=TRUE,HYPERLINK("#JUMP_14",EUconst_MsgGoOnPFC),HYPERLINK("#JUMP_E_8",EUconst_FurtherGuidancePoint1)))</f>
        <v/>
      </c>
      <c r="F902" s="1550"/>
      <c r="G902" s="1550"/>
      <c r="H902" s="1550"/>
      <c r="I902" s="1550"/>
      <c r="J902" s="1550"/>
      <c r="K902" s="1550"/>
      <c r="L902" s="1550"/>
      <c r="M902" s="1550"/>
      <c r="N902" s="143"/>
      <c r="O902" s="733"/>
      <c r="P902" s="33"/>
      <c r="Q902" s="352" t="str">
        <f>EUconst_SumNonSustBioCO2 &amp; "_" &amp; K899</f>
        <v>SUM_bioNonSustCO2_</v>
      </c>
      <c r="R902" s="707"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4"/>
      <c r="AK902" s="504"/>
      <c r="AL902" s="342"/>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4.5" hidden="1" customHeight="1">
      <c r="A903" s="808"/>
      <c r="B903" s="166"/>
      <c r="C903" s="166"/>
      <c r="D903" s="166"/>
      <c r="E903" s="166"/>
      <c r="F903" s="166"/>
      <c r="G903" s="166"/>
      <c r="M903" s="143"/>
      <c r="N903" s="143"/>
      <c r="O903" s="733"/>
      <c r="P903" s="23"/>
      <c r="Q903" s="23"/>
      <c r="R903" s="23"/>
      <c r="S903" s="23"/>
      <c r="T903" s="23"/>
      <c r="U903" s="23"/>
      <c r="V903" s="30"/>
      <c r="W903" s="30"/>
      <c r="X903" s="30"/>
      <c r="Y903" s="494"/>
      <c r="Z903" s="30"/>
      <c r="AA903" s="30"/>
      <c r="AB903" s="30"/>
      <c r="AC903" s="30"/>
      <c r="AD903" s="30"/>
      <c r="AE903" s="30"/>
      <c r="AF903" s="58"/>
      <c r="AG903" s="30"/>
      <c r="AH903" s="30"/>
      <c r="AI903" s="30"/>
      <c r="AJ903" s="504"/>
      <c r="AK903" s="504"/>
      <c r="AL903" s="342"/>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hidden="1" customHeight="1" thickBot="1">
      <c r="A904" s="808"/>
      <c r="B904" s="166"/>
      <c r="C904" s="814" t="s">
        <v>4</v>
      </c>
      <c r="D904" s="512" t="str">
        <f>Translations!$B$622</f>
        <v>VD:</v>
      </c>
      <c r="E904" s="1560" t="str">
        <f>Translations!$B$667</f>
        <v>Ar veiklos duomenys gaunami sudedant išmatuotus kiekius (t. y. ne atliekant nuolatinius matavimus)?</v>
      </c>
      <c r="F904" s="1560"/>
      <c r="G904" s="1560"/>
      <c r="H904" s="1560"/>
      <c r="I904" s="1560"/>
      <c r="J904" s="1560"/>
      <c r="K904" s="1560"/>
      <c r="L904" s="1179"/>
      <c r="M904" s="507"/>
      <c r="O904" s="733"/>
      <c r="P904" s="23"/>
      <c r="Q904" s="23"/>
      <c r="R904" s="23"/>
      <c r="S904" s="23"/>
      <c r="T904" s="23"/>
      <c r="U904" s="23"/>
      <c r="V904" s="30"/>
      <c r="W904" s="30"/>
      <c r="X904" s="30"/>
      <c r="Y904" s="494"/>
      <c r="Z904" s="30"/>
      <c r="AA904" s="30"/>
      <c r="AB904" s="30"/>
      <c r="AC904" s="1172" t="b">
        <f>AND(E899&lt;&gt;"",T900&lt;&gt;TRUE)</f>
        <v>0</v>
      </c>
      <c r="AD904" s="30"/>
      <c r="AE904" s="30"/>
      <c r="AF904" s="58"/>
      <c r="AG904" s="30"/>
      <c r="AH904" s="30"/>
      <c r="AI904" s="30"/>
      <c r="AJ904" s="504"/>
      <c r="AK904" s="504"/>
      <c r="AL904" s="342"/>
      <c r="AM904" s="30"/>
      <c r="AN904" s="30"/>
      <c r="AO904" s="30"/>
      <c r="AP904" s="30"/>
      <c r="AQ904" s="30"/>
      <c r="AR904" s="30"/>
      <c r="AS904" s="30"/>
      <c r="AT904" s="1172"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2" t="b">
        <f>OR(CNTR_CalcRelevant=EUconst_NotRelevant,AND(COUNTA(CNTR_ListRelevantSections)&gt;0,OR(T900=TRUE,E899="")))</f>
        <v>1</v>
      </c>
    </row>
    <row r="905" spans="1:78" s="142" customFormat="1" ht="5.0999999999999996" hidden="1" customHeight="1">
      <c r="A905" s="808"/>
      <c r="B905" s="166"/>
      <c r="C905" s="166"/>
      <c r="D905" s="166"/>
      <c r="E905" s="166"/>
      <c r="F905" s="166"/>
      <c r="G905" s="166"/>
      <c r="H905" s="495"/>
      <c r="I905" s="495"/>
      <c r="J905" s="495"/>
      <c r="K905" s="495"/>
      <c r="L905" s="495"/>
      <c r="M905" s="507"/>
      <c r="O905" s="733"/>
      <c r="P905" s="23"/>
      <c r="Q905" s="23"/>
      <c r="R905" s="23"/>
      <c r="S905" s="23"/>
      <c r="T905" s="23"/>
      <c r="U905" s="23"/>
      <c r="V905" s="30"/>
      <c r="W905" s="30"/>
      <c r="X905" s="30"/>
      <c r="Y905" s="494"/>
      <c r="Z905" s="30"/>
      <c r="AA905" s="30"/>
      <c r="AB905" s="30"/>
      <c r="AC905" s="492"/>
      <c r="AD905" s="30"/>
      <c r="AE905" s="30"/>
      <c r="AF905" s="58"/>
      <c r="AG905" s="30"/>
      <c r="AH905" s="30"/>
      <c r="AI905" s="30"/>
      <c r="AJ905" s="504"/>
      <c r="AK905" s="504"/>
      <c r="AL905" s="342"/>
      <c r="AM905" s="30"/>
      <c r="AN905" s="30"/>
      <c r="AO905" s="30"/>
      <c r="AP905" s="30"/>
      <c r="AQ905" s="30"/>
      <c r="AR905" s="30"/>
      <c r="AS905" s="30"/>
      <c r="AT905" s="492"/>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2"/>
    </row>
    <row r="906" spans="1:78" s="142" customFormat="1" ht="12.75" hidden="1" customHeight="1" thickBot="1">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3"/>
      <c r="Q906" s="23"/>
      <c r="R906" s="23"/>
      <c r="S906" s="23"/>
      <c r="T906" s="23"/>
      <c r="U906" s="23"/>
      <c r="V906" s="30"/>
      <c r="W906" s="30"/>
      <c r="X906" s="30"/>
      <c r="Y906" s="494"/>
      <c r="Z906" s="30"/>
      <c r="AA906" s="30"/>
      <c r="AB906" s="30"/>
      <c r="AC906" s="1172" t="b">
        <f>AC904</f>
        <v>0</v>
      </c>
      <c r="AD906" s="30"/>
      <c r="AE906" s="30"/>
      <c r="AF906" s="58"/>
      <c r="AG906" s="30"/>
      <c r="AH906" s="30"/>
      <c r="AI906" s="30"/>
      <c r="AJ906" s="504"/>
      <c r="AK906" s="504"/>
      <c r="AL906" s="342"/>
      <c r="AM906" s="30"/>
      <c r="AN906" s="30"/>
      <c r="AO906" s="30"/>
      <c r="AP906" s="30"/>
      <c r="AQ906" s="30"/>
      <c r="AR906" s="30"/>
      <c r="AS906" s="30"/>
      <c r="AT906" s="1172"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2" t="b">
        <f>OR(BZ904,AND(NOT(ISBLANK(L904)),L904=FALSE))</f>
        <v>1</v>
      </c>
    </row>
    <row r="907" spans="1:78" s="142" customFormat="1" ht="4.5" hidden="1" customHeight="1">
      <c r="A907" s="808"/>
      <c r="B907" s="166"/>
      <c r="C907" s="166"/>
      <c r="D907" s="166"/>
      <c r="E907" s="166"/>
      <c r="F907" s="166"/>
      <c r="G907" s="166"/>
      <c r="M907" s="143"/>
      <c r="N907" s="143"/>
      <c r="O907" s="733"/>
      <c r="P907" s="23"/>
      <c r="Q907" s="23"/>
      <c r="R907" s="23"/>
      <c r="S907" s="23"/>
      <c r="T907" s="23"/>
      <c r="U907" s="23"/>
      <c r="V907" s="30"/>
      <c r="W907" s="30"/>
      <c r="X907" s="30"/>
      <c r="Y907" s="494"/>
      <c r="Z907" s="30"/>
      <c r="AA907" s="30"/>
      <c r="AB907" s="30"/>
      <c r="AC907" s="30"/>
      <c r="AD907" s="30"/>
      <c r="AE907" s="30"/>
      <c r="AF907" s="58"/>
      <c r="AG907" s="30"/>
      <c r="AH907" s="30"/>
      <c r="AI907" s="30"/>
      <c r="AJ907" s="504"/>
      <c r="AK907" s="504"/>
      <c r="AL907" s="342"/>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hidden="1" customHeight="1" thickBot="1">
      <c r="A908" s="808"/>
      <c r="B908" s="166"/>
      <c r="C908" s="166"/>
      <c r="D908" s="166"/>
      <c r="E908" s="166"/>
      <c r="F908" s="506" t="str">
        <f>Translations!$B$333</f>
        <v>Pakopa</v>
      </c>
      <c r="G908" s="1557" t="str">
        <f>Translations!$B$672</f>
        <v>pakopos aprašas</v>
      </c>
      <c r="H908" s="1557"/>
      <c r="I908" s="1555" t="str">
        <f>Translations!$B$158</f>
        <v>Vienetas</v>
      </c>
      <c r="J908" s="1555"/>
      <c r="K908" s="1555" t="str">
        <f>Translations!$B$673</f>
        <v>Vertė</v>
      </c>
      <c r="L908" s="1555"/>
      <c r="M908" s="507" t="str">
        <f>Translations!$B$610</f>
        <v>klaida</v>
      </c>
      <c r="O908" s="733"/>
      <c r="P908" s="508"/>
      <c r="Q908" s="352" t="str">
        <f>EUconst_SumEnergyIN &amp; "_" &amp; K899</f>
        <v>SUM_EnergyIN_</v>
      </c>
      <c r="R908" s="399" t="str">
        <f>IF(OR(K899="",T900)=TRUE,"",INDEX(BC914:BE914,MATCH(K899,BC909:BE909,0)))</f>
        <v/>
      </c>
      <c r="S908" s="30"/>
      <c r="T908" s="489"/>
      <c r="U908" s="30"/>
      <c r="V908" s="509" t="s">
        <v>303</v>
      </c>
      <c r="W908" s="30"/>
      <c r="X908" s="30"/>
      <c r="Y908" s="494" t="s">
        <v>566</v>
      </c>
      <c r="Z908" s="494" t="s">
        <v>318</v>
      </c>
      <c r="AA908" s="30"/>
      <c r="AB908" s="30"/>
      <c r="AC908" s="505" t="s">
        <v>309</v>
      </c>
      <c r="AD908" s="30"/>
      <c r="AE908" s="30"/>
      <c r="AF908" s="492" t="s">
        <v>305</v>
      </c>
      <c r="AG908" s="492" t="s">
        <v>306</v>
      </c>
      <c r="AH908" s="494" t="s">
        <v>304</v>
      </c>
      <c r="AI908" s="504" t="s">
        <v>307</v>
      </c>
      <c r="AJ908" s="504" t="s">
        <v>567</v>
      </c>
      <c r="AK908" s="510" t="s">
        <v>311</v>
      </c>
      <c r="AL908" s="342"/>
      <c r="AM908" s="30"/>
      <c r="AN908" s="492" t="s">
        <v>305</v>
      </c>
      <c r="AO908" s="492" t="s">
        <v>306</v>
      </c>
      <c r="AP908" s="511" t="s">
        <v>310</v>
      </c>
      <c r="AQ908" s="504" t="s">
        <v>569</v>
      </c>
      <c r="AR908" s="504" t="s">
        <v>568</v>
      </c>
      <c r="AS908" s="510" t="s">
        <v>609</v>
      </c>
      <c r="AT908" s="510" t="s">
        <v>609</v>
      </c>
      <c r="AU908" s="30"/>
      <c r="AV908" s="492"/>
      <c r="AW908" s="492"/>
      <c r="AX908" s="492" t="s">
        <v>321</v>
      </c>
      <c r="AY908" s="492"/>
      <c r="AZ908" s="492"/>
      <c r="BA908" s="492"/>
      <c r="BB908" s="492"/>
      <c r="BC908" s="492"/>
      <c r="BD908" s="492"/>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3" t="s">
        <v>262</v>
      </c>
    </row>
    <row r="909" spans="1:78" s="142" customFormat="1" ht="12.75" hidden="1" customHeight="1" thickBot="1">
      <c r="A909" s="808"/>
      <c r="B909" s="166"/>
      <c r="C909" s="777" t="s">
        <v>196</v>
      </c>
      <c r="D909" s="512" t="str">
        <f>Translations!$B$622</f>
        <v>VD:</v>
      </c>
      <c r="E909" s="513"/>
      <c r="F909" s="402"/>
      <c r="G909" s="1532" t="str">
        <f>IF(OR(ISBLANK(F909),F909=EUconst_NoTier),"",IF(Z909=0,EUconst_NA,IF(ISERROR(Z909),"",Z909)))</f>
        <v/>
      </c>
      <c r="H909" s="1533"/>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0"/>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0"/>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0"/>
      <c r="AV909" s="492" t="s">
        <v>314</v>
      </c>
      <c r="AW909" s="492" t="s">
        <v>319</v>
      </c>
      <c r="AX909" s="524"/>
      <c r="AY909" s="30" t="s">
        <v>542</v>
      </c>
      <c r="AZ909" s="30"/>
      <c r="BA909" s="30"/>
      <c r="BB909" s="504"/>
      <c r="BC909" s="493" t="str">
        <f>EUconst_Fuel</f>
        <v>Degimas</v>
      </c>
      <c r="BD909" s="493" t="str">
        <f>EUconst_ProcessCarbonate</f>
        <v>Proceso metu išsiskiriančios ŠESD</v>
      </c>
      <c r="BE909" s="493"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4" t="b">
        <f>BZ904</f>
        <v>1</v>
      </c>
    </row>
    <row r="910" spans="1:78" s="142" customFormat="1" ht="5.0999999999999996" hidden="1" customHeight="1">
      <c r="A910" s="808"/>
      <c r="B910" s="166"/>
      <c r="C910" s="814"/>
      <c r="D910" s="306"/>
      <c r="F910" s="143"/>
      <c r="G910" s="143"/>
      <c r="H910" s="143" t="s">
        <v>236</v>
      </c>
      <c r="I910" s="525"/>
      <c r="J910" s="525"/>
      <c r="K910" s="143"/>
      <c r="L910" s="143"/>
      <c r="M910" s="710"/>
      <c r="O910" s="733"/>
      <c r="P910" s="33"/>
      <c r="Q910" s="33"/>
      <c r="R910" s="33"/>
      <c r="S910" s="30"/>
      <c r="T910" s="155"/>
      <c r="U910" s="497"/>
      <c r="V910" s="30"/>
      <c r="W910" s="30"/>
      <c r="X910" s="497"/>
      <c r="Y910" s="526"/>
      <c r="Z910" s="30"/>
      <c r="AA910" s="30"/>
      <c r="AB910" s="30"/>
      <c r="AC910" s="30"/>
      <c r="AD910" s="30"/>
      <c r="AE910" s="30"/>
      <c r="AF910" s="30"/>
      <c r="AG910" s="30"/>
      <c r="AH910" s="30"/>
      <c r="AI910" s="30"/>
      <c r="AJ910" s="30"/>
      <c r="AK910" s="30"/>
      <c r="AL910" s="342"/>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3"/>
    </row>
    <row r="911" spans="1:78" s="142" customFormat="1" ht="12.75" hidden="1" customHeight="1" thickBot="1">
      <c r="A911" s="808"/>
      <c r="B911" s="166"/>
      <c r="C911" s="814" t="s">
        <v>197</v>
      </c>
      <c r="D911" s="512" t="str">
        <f>Translations!$B$634</f>
        <v>(prelim.) ITF:</v>
      </c>
      <c r="E911" s="513"/>
      <c r="F911" s="527"/>
      <c r="G911" s="1532" t="str">
        <f t="shared" ref="G911:G917" si="217">IF(OR(ISBLANK(F911),F911=EUconst_NoTier),"",IF(Z911=0,EUconst_NotApplicable,IF(ISERROR(Z911),"",Z911)))</f>
        <v/>
      </c>
      <c r="H911" s="1556"/>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3"/>
      <c r="Q911" s="33"/>
      <c r="R911" s="33"/>
      <c r="S911" s="30"/>
      <c r="T911" s="530" t="str">
        <f>EUconst_CNTR_EF&amp;E900</f>
        <v>EF_</v>
      </c>
      <c r="U911" s="497"/>
      <c r="V911" s="531" t="str">
        <f>V909</f>
        <v/>
      </c>
      <c r="W911" s="30"/>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0"/>
      <c r="AC911" s="535" t="b">
        <f>AND(AC909,Y911&lt;&gt;EUconst_NA)</f>
        <v>0</v>
      </c>
      <c r="AD911" s="30"/>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0"/>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0"/>
      <c r="BA911" s="30"/>
      <c r="BB911" s="547" t="s">
        <v>594</v>
      </c>
      <c r="BC911" s="546" t="str">
        <f>IF(K899=BC909,AR909*IF(AJ911=EUconst_tCO2pTJ,(AR912/1000),1)*AR911*AR913*AR917,"")</f>
        <v/>
      </c>
      <c r="BD911" s="524" t="str">
        <f>IF(K899=BD909,AR909*AR911*AR914*AR917,"")</f>
        <v/>
      </c>
      <c r="BE911" s="523"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1" t="b">
        <f>OR(BZ909,Y911=EUconst_NA)</f>
        <v>1</v>
      </c>
    </row>
    <row r="912" spans="1:78" s="142" customFormat="1" ht="12.75" hidden="1" customHeight="1" thickBot="1">
      <c r="A912" s="808"/>
      <c r="B912" s="166"/>
      <c r="C912" s="814" t="s">
        <v>198</v>
      </c>
      <c r="D912" s="512" t="str">
        <f>Translations!$B$636</f>
        <v>GŠV:</v>
      </c>
      <c r="E912" s="513"/>
      <c r="F912" s="548"/>
      <c r="G912" s="1532" t="str">
        <f t="shared" si="217"/>
        <v/>
      </c>
      <c r="H912" s="1533"/>
      <c r="I912" s="1169" t="str">
        <f>AJ912</f>
        <v/>
      </c>
      <c r="J912" s="549"/>
      <c r="K912" s="550" t="str">
        <f t="shared" si="218"/>
        <v/>
      </c>
      <c r="L912" s="551"/>
      <c r="M912" s="709" t="str">
        <f>IF(AND(E900&lt;&gt;"",OR(F912="",COUNT(K912:L912)=0),Y912&lt;&gt;EUconst_NA,T900&lt;&gt;TRUE),EUconst_ERR_Incomplete,IF(COUNTIF(AX912:AZ912,TRUE)&gt;0,EUconst_ERR_Inconsistent,""))</f>
        <v/>
      </c>
      <c r="O912" s="733"/>
      <c r="P912" s="33"/>
      <c r="Q912" s="33"/>
      <c r="R912" s="33"/>
      <c r="S912" s="30"/>
      <c r="T912" s="552" t="str">
        <f>EUconst_CNTR_NCV&amp;E900</f>
        <v>NCV_</v>
      </c>
      <c r="U912" s="497"/>
      <c r="V912" s="553" t="str">
        <f t="shared" ref="V912:V917" si="223">V911</f>
        <v/>
      </c>
      <c r="W912" s="30"/>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0"/>
      <c r="AC912" s="557" t="b">
        <f>AND(AC909,Y912&lt;&gt;EUconst_NA)</f>
        <v>0</v>
      </c>
      <c r="AD912" s="30"/>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0"/>
      <c r="AV912" s="567" t="b">
        <f t="shared" si="220"/>
        <v>0</v>
      </c>
      <c r="AW912" s="568" t="b">
        <f t="shared" si="221"/>
        <v>0</v>
      </c>
      <c r="AX912" s="30"/>
      <c r="AY912" s="553" t="b">
        <f t="shared" si="222"/>
        <v>0</v>
      </c>
      <c r="AZ912" s="30"/>
      <c r="BA912" s="30"/>
      <c r="BB912" s="547" t="s">
        <v>595</v>
      </c>
      <c r="BC912" s="546" t="str">
        <f>IF(K899=BC909,AR909*IF(AJ911=EUconst_tCO2pTJ,(AR912/1000),1)*AR911*AR913*AR916,"")</f>
        <v/>
      </c>
      <c r="BD912" s="524" t="str">
        <f>IF(K899=BD909,AR909*AR911*AR914*AR916,"")</f>
        <v/>
      </c>
      <c r="BE912" s="523"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3" t="b">
        <f>OR(BZ909,Y912=EUconst_NA)</f>
        <v>1</v>
      </c>
    </row>
    <row r="913" spans="1:78" s="142" customFormat="1" ht="12.75" hidden="1" customHeight="1" thickBot="1">
      <c r="A913" s="808"/>
      <c r="B913" s="166"/>
      <c r="C913" s="814" t="s">
        <v>199</v>
      </c>
      <c r="D913" s="512" t="str">
        <f>Translations!$B$638</f>
        <v>OksK:</v>
      </c>
      <c r="E913" s="513"/>
      <c r="F913" s="548"/>
      <c r="G913" s="1532" t="str">
        <f t="shared" si="217"/>
        <v/>
      </c>
      <c r="H913" s="1533"/>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3"/>
      <c r="Q913" s="33"/>
      <c r="R913" s="33"/>
      <c r="S913" s="30"/>
      <c r="T913" s="552" t="str">
        <f>EUconst_CNTR_OxidationFactor&amp;E900</f>
        <v>OxF_</v>
      </c>
      <c r="U913" s="497"/>
      <c r="V913" s="553" t="str">
        <f t="shared" si="223"/>
        <v/>
      </c>
      <c r="W913" s="30"/>
      <c r="X913" s="497"/>
      <c r="Y913" s="554" t="str">
        <f>IF(OR(T900=TRUE,E900=""),"",INDEX(EUwideConstants!$N:$N,MATCH(T913,EUwideConstants!$Q:$Q,0)))</f>
        <v/>
      </c>
      <c r="Z913" s="555" t="str">
        <f>IF(ISBLANK(F913),"",IF(F913=EUconst_NA,"",INDEX(EUwideConstants!$H:$M,MATCH(T913,EUwideConstants!$Q:$Q,0),MATCH(F913,CNTR_TierList,0))))</f>
        <v/>
      </c>
      <c r="AA913" s="534" t="str">
        <f>IF(F913=1,1,"")</f>
        <v/>
      </c>
      <c r="AB913" s="30"/>
      <c r="AC913" s="557" t="b">
        <f>AND(AC909,Y913&lt;&gt;EUconst_NA)</f>
        <v>0</v>
      </c>
      <c r="AD913" s="30"/>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0"/>
      <c r="AV913" s="567" t="b">
        <f t="shared" si="220"/>
        <v>0</v>
      </c>
      <c r="AW913" s="568" t="b">
        <f t="shared" si="221"/>
        <v>0</v>
      </c>
      <c r="AX913" s="30"/>
      <c r="AY913" s="594" t="b">
        <f t="shared" si="222"/>
        <v>0</v>
      </c>
      <c r="AZ913" s="531" t="b">
        <f>AR913&gt;100%</f>
        <v>0</v>
      </c>
      <c r="BA913" s="30"/>
      <c r="BB913" s="547" t="s">
        <v>290</v>
      </c>
      <c r="BC913" s="546" t="str">
        <f>IF(K899=BC909,AR909*IF(AJ911=EUconst_tCO2pTJ,(AR912/1000),1)*AR911*AR913*(1-AR916),"")</f>
        <v/>
      </c>
      <c r="BD913" s="524" t="str">
        <f>IF(K899=BD909,AR909*AR911*AR914*(1-AR916),"")</f>
        <v/>
      </c>
      <c r="BE913" s="523"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3" t="b">
        <f>OR(BZ909,Y913=EUconst_NA)</f>
        <v>1</v>
      </c>
    </row>
    <row r="914" spans="1:78" s="142" customFormat="1" ht="12.75" hidden="1" customHeight="1" thickBot="1">
      <c r="A914" s="808"/>
      <c r="B914" s="166"/>
      <c r="C914" s="814" t="s">
        <v>200</v>
      </c>
      <c r="D914" s="512" t="str">
        <f>Translations!$B$639</f>
        <v>KonvK:</v>
      </c>
      <c r="E914" s="513"/>
      <c r="F914" s="548"/>
      <c r="G914" s="1532" t="str">
        <f t="shared" si="217"/>
        <v/>
      </c>
      <c r="H914" s="1533"/>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3"/>
      <c r="Q914" s="33"/>
      <c r="R914" s="33"/>
      <c r="S914" s="30"/>
      <c r="T914" s="552" t="str">
        <f>EUconst_CNTR_ConversionFactor&amp;E900</f>
        <v>ConvF_</v>
      </c>
      <c r="U914" s="497"/>
      <c r="V914" s="553" t="str">
        <f t="shared" si="223"/>
        <v/>
      </c>
      <c r="W914" s="30"/>
      <c r="X914" s="497"/>
      <c r="Y914" s="554" t="str">
        <f>IF(OR(T900=TRUE,E900=""),"",INDEX(EUwideConstants!$N:$N,MATCH(T914,EUwideConstants!$Q:$Q,0)))</f>
        <v/>
      </c>
      <c r="Z914" s="555" t="str">
        <f>IF(ISBLANK(F914),"",IF(F914=EUconst_NA,"",INDEX(EUwideConstants!$H:$M,MATCH(T914,EUwideConstants!$Q:$Q,0),MATCH(F914,CNTR_TierList,0))))</f>
        <v/>
      </c>
      <c r="AA914" s="582" t="str">
        <f>IF(F914=1,1,"")</f>
        <v/>
      </c>
      <c r="AB914" s="30"/>
      <c r="AC914" s="557" t="b">
        <f>AND(AC909,Y914&lt;&gt;EUconst_NA)</f>
        <v>0</v>
      </c>
      <c r="AD914" s="30"/>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0"/>
      <c r="AV914" s="567" t="b">
        <f t="shared" si="220"/>
        <v>0</v>
      </c>
      <c r="AW914" s="568" t="b">
        <f t="shared" si="221"/>
        <v>0</v>
      </c>
      <c r="AX914" s="30"/>
      <c r="AY914" s="594" t="b">
        <f t="shared" si="222"/>
        <v>0</v>
      </c>
      <c r="AZ914" s="580" t="b">
        <f>AR914&gt;100%</f>
        <v>0</v>
      </c>
      <c r="BA914" s="30"/>
      <c r="BB914" s="578" t="s">
        <v>487</v>
      </c>
      <c r="BC914" s="579">
        <f>AR909*AR912/1000*(1-AR916)</f>
        <v>0</v>
      </c>
      <c r="BD914" s="580">
        <f>BC914</f>
        <v>0</v>
      </c>
      <c r="BE914" s="581">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3" t="b">
        <f>OR(BZ909,Y914=EUconst_NA)</f>
        <v>1</v>
      </c>
    </row>
    <row r="915" spans="1:78" s="142" customFormat="1" ht="12.75" hidden="1" customHeight="1" thickBot="1">
      <c r="A915" s="808"/>
      <c r="B915" s="166"/>
      <c r="C915" s="814" t="s">
        <v>329</v>
      </c>
      <c r="D915" s="512" t="str">
        <f>Translations!$B$640</f>
        <v>AnglK:</v>
      </c>
      <c r="E915" s="513"/>
      <c r="F915" s="548"/>
      <c r="G915" s="1532" t="str">
        <f t="shared" si="217"/>
        <v/>
      </c>
      <c r="H915" s="1533"/>
      <c r="I915" s="1170" t="str">
        <f>AJ915</f>
        <v/>
      </c>
      <c r="J915" s="586"/>
      <c r="K915" s="587" t="str">
        <f t="shared" si="218"/>
        <v/>
      </c>
      <c r="L915" s="588"/>
      <c r="M915" s="709" t="str">
        <f>IF(AND(E900&lt;&gt;"",OR(F915="",COUNT(K915:L915)=0),Y915&lt;&gt;EUconst_NA,T900&lt;&gt;TRUE),EUconst_ERR_Incomplete,IF(COUNTIF(AX915:AZ915,TRUE)&gt;0,EUconst_ERR_Inconsistent,""))</f>
        <v/>
      </c>
      <c r="O915" s="733"/>
      <c r="P915" s="33"/>
      <c r="Q915" s="33"/>
      <c r="R915" s="33"/>
      <c r="S915" s="30"/>
      <c r="T915" s="552" t="str">
        <f>EUconst_CNTR_CarbonContent&amp;E900</f>
        <v>CarbC_</v>
      </c>
      <c r="U915" s="497"/>
      <c r="V915" s="553" t="str">
        <f t="shared" si="223"/>
        <v/>
      </c>
      <c r="W915" s="30"/>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0"/>
      <c r="AC915" s="557" t="b">
        <f>AND(AC909,Y915&lt;&gt;EUconst_NA)</f>
        <v>0</v>
      </c>
      <c r="AD915" s="30"/>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0"/>
      <c r="AV915" s="567" t="b">
        <f t="shared" si="220"/>
        <v>0</v>
      </c>
      <c r="AW915" s="568" t="b">
        <f t="shared" si="221"/>
        <v>0</v>
      </c>
      <c r="AX915" s="546" t="b">
        <f>OR(AND(AJ909=EUconst_kNm3,AJ915=EUconst_tCpt),AND(AJ909=EUconst_t,AJ915=EUconst_tCpkNm3))</f>
        <v>0</v>
      </c>
      <c r="AY915" s="553" t="b">
        <f t="shared" si="222"/>
        <v>0</v>
      </c>
      <c r="AZ915" s="30"/>
      <c r="BA915" s="30"/>
      <c r="BB915" s="578" t="s">
        <v>488</v>
      </c>
      <c r="BC915" s="579">
        <f>AR909*AR912/1000*AR916</f>
        <v>0</v>
      </c>
      <c r="BD915" s="580">
        <f>BC915</f>
        <v>0</v>
      </c>
      <c r="BE915" s="581">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3" t="b">
        <f>OR(BZ909,Y915=EUconst_NA)</f>
        <v>1</v>
      </c>
    </row>
    <row r="916" spans="1:78" s="142" customFormat="1" ht="12.75" hidden="1" customHeight="1">
      <c r="A916" s="808"/>
      <c r="B916" s="166"/>
      <c r="C916" s="777" t="s">
        <v>330</v>
      </c>
      <c r="D916" s="512" t="str">
        <f>Translations!$B$641</f>
        <v>BioC:</v>
      </c>
      <c r="E916" s="513"/>
      <c r="F916" s="548"/>
      <c r="G916" s="1532" t="str">
        <f t="shared" si="217"/>
        <v/>
      </c>
      <c r="H916" s="1533"/>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0"/>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0"/>
      <c r="AC916" s="557" t="b">
        <f>AND(AC909,Y916&lt;&gt;EUconst_NA)</f>
        <v>0</v>
      </c>
      <c r="AD916" s="30"/>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0"/>
      <c r="AV916" s="567" t="b">
        <f t="shared" si="220"/>
        <v>0</v>
      </c>
      <c r="AW916" s="568" t="b">
        <f t="shared" si="221"/>
        <v>0</v>
      </c>
      <c r="AX916" s="30"/>
      <c r="AY916" s="594" t="b">
        <f t="shared" si="222"/>
        <v>0</v>
      </c>
      <c r="AZ916" s="531"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3" t="b">
        <f>OR(BZ909,Y916=EUconst_NA)</f>
        <v>1</v>
      </c>
    </row>
    <row r="917" spans="1:78" s="142" customFormat="1" ht="12.75" hidden="1" customHeight="1" thickBot="1">
      <c r="A917" s="808"/>
      <c r="B917" s="166"/>
      <c r="C917" s="777" t="s">
        <v>454</v>
      </c>
      <c r="D917" s="512" t="str">
        <f>Translations!$B$647</f>
        <v>Netvar. BioC:</v>
      </c>
      <c r="E917" s="513"/>
      <c r="F917" s="597"/>
      <c r="G917" s="1532" t="str">
        <f t="shared" si="217"/>
        <v/>
      </c>
      <c r="H917" s="1533"/>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0"/>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0"/>
      <c r="AC917" s="603" t="b">
        <f>AND(AC909,Y917&lt;&gt;EUconst_NA)</f>
        <v>0</v>
      </c>
      <c r="AD917" s="30"/>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0"/>
      <c r="AV917" s="613" t="b">
        <f t="shared" si="220"/>
        <v>0</v>
      </c>
      <c r="AW917" s="614" t="b">
        <f t="shared" si="221"/>
        <v>0</v>
      </c>
      <c r="AX917" s="30"/>
      <c r="AY917" s="579" t="b">
        <f t="shared" si="222"/>
        <v>0</v>
      </c>
      <c r="AZ917" s="580"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80" t="b">
        <f>OR(BZ909,Y917=EUconst_NA)</f>
        <v>1</v>
      </c>
    </row>
    <row r="918" spans="1:78" s="142" customFormat="1" ht="5.0999999999999996" hidden="1" customHeight="1">
      <c r="A918" s="808"/>
      <c r="B918" s="166"/>
      <c r="C918" s="166"/>
      <c r="D918" s="180"/>
      <c r="O918" s="733"/>
      <c r="P918" s="33"/>
      <c r="Q918" s="33"/>
      <c r="R918" s="33"/>
      <c r="S918" s="174"/>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hidden="1" customHeight="1">
      <c r="A919" s="808"/>
      <c r="B919" s="166"/>
      <c r="C919" s="166"/>
      <c r="D919" s="1558" t="str">
        <f>Translations!$B$674</f>
        <v>Pakopos galioja nuo:</v>
      </c>
      <c r="E919" s="1558"/>
      <c r="F919" s="1559"/>
      <c r="G919" s="1052"/>
      <c r="H919" s="615" t="str">
        <f>Translations!$B$675</f>
        <v>iki:</v>
      </c>
      <c r="I919" s="1052"/>
      <c r="J919" s="1536" t="str">
        <f>Translations!$B$676</f>
        <v>Atliekų katalogo numeris (jeigu taikytina):</v>
      </c>
      <c r="K919" s="1537"/>
      <c r="L919" s="1537"/>
      <c r="M919" s="1538"/>
      <c r="N919" s="1289"/>
      <c r="O919" s="733"/>
      <c r="P919" s="33"/>
      <c r="Q919" s="33"/>
      <c r="R919" s="33"/>
      <c r="S919" s="1290"/>
      <c r="T919" s="492"/>
      <c r="U919" s="492"/>
      <c r="V919" s="48" t="b">
        <f>IF(V909="",FALSE,INDEX(CNTR_IsWaste,MATCH(V909,MSParameters!$A$218:$A$376,0)))</f>
        <v>0</v>
      </c>
      <c r="W919" s="1290"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hidden="1" customHeight="1">
      <c r="A920" s="808"/>
      <c r="B920" s="166"/>
      <c r="C920" s="166"/>
      <c r="D920" s="615"/>
      <c r="E920" s="495"/>
      <c r="F920" s="495"/>
      <c r="G920" s="495"/>
      <c r="H920" s="495"/>
      <c r="I920" s="495"/>
      <c r="J920" s="495"/>
      <c r="K920" s="495"/>
      <c r="L920" s="495"/>
      <c r="M920" s="495"/>
      <c r="N920" s="495"/>
      <c r="O920" s="733"/>
      <c r="P920" s="33"/>
      <c r="Q920" s="33"/>
      <c r="R920" s="33"/>
      <c r="S920" s="174"/>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hidden="1" customHeight="1">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3"/>
      <c r="Q921" s="33"/>
      <c r="R921" s="33"/>
      <c r="S921" s="174"/>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4.5" hidden="1" customHeight="1">
      <c r="A922" s="815"/>
      <c r="D922" s="180"/>
      <c r="O922" s="573"/>
      <c r="P922" s="497"/>
      <c r="Q922" s="497"/>
      <c r="R922" s="497"/>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hidden="1">
      <c r="A923" s="815"/>
      <c r="D923" s="1534" t="str">
        <f>Translations!$B$160</f>
        <v>Pastabos:</v>
      </c>
      <c r="E923" s="1535"/>
      <c r="F923" s="1539"/>
      <c r="G923" s="1540"/>
      <c r="H923" s="1540"/>
      <c r="I923" s="1540"/>
      <c r="J923" s="1540"/>
      <c r="K923" s="1540"/>
      <c r="L923" s="1540"/>
      <c r="M923" s="1540"/>
      <c r="N923" s="1541"/>
      <c r="O923" s="573"/>
      <c r="P923" s="497"/>
      <c r="Q923" s="497"/>
      <c r="R923" s="497"/>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c r="A924" s="808"/>
      <c r="B924" s="495"/>
      <c r="C924" s="499"/>
      <c r="D924" s="500"/>
      <c r="E924" s="501"/>
      <c r="F924" s="499"/>
      <c r="G924" s="502"/>
      <c r="H924" s="502"/>
      <c r="I924" s="502"/>
      <c r="J924" s="502"/>
      <c r="K924" s="502"/>
      <c r="L924" s="502"/>
      <c r="M924" s="502"/>
      <c r="N924" s="502"/>
      <c r="O924" s="740"/>
      <c r="P924" s="494"/>
      <c r="Q924" s="494"/>
      <c r="R924" s="494"/>
      <c r="S924" s="58"/>
      <c r="T924" s="58"/>
      <c r="U924" s="498"/>
      <c r="V924" s="58"/>
      <c r="W924" s="58"/>
      <c r="X924" s="49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c r="A925" s="813"/>
      <c r="B925" s="495"/>
      <c r="C925" s="495"/>
      <c r="D925" s="180"/>
      <c r="E925" s="496"/>
      <c r="F925" s="495"/>
      <c r="G925" s="487"/>
      <c r="H925" s="487"/>
      <c r="I925" s="487"/>
      <c r="J925" s="487"/>
      <c r="K925" s="495"/>
      <c r="L925" s="487"/>
      <c r="M925" s="487"/>
      <c r="N925" s="487"/>
      <c r="O925" s="740"/>
      <c r="P925" s="494"/>
      <c r="Q925" s="494"/>
      <c r="R925" s="494"/>
      <c r="S925" s="23"/>
      <c r="T925" s="27" t="str">
        <f>IF(ISBLANK(E926),"",MATCH(E926,CNTR_SourceStreamNames,0))</f>
        <v/>
      </c>
      <c r="U925" s="618"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1"/>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3" t="s">
        <v>262</v>
      </c>
    </row>
    <row r="926" spans="1:78" s="142" customFormat="1" ht="15" hidden="1" customHeight="1" thickBot="1">
      <c r="A926" s="869" t="str">
        <f>IF(E926="","","PRINT")</f>
        <v/>
      </c>
      <c r="B926" s="166"/>
      <c r="C926" s="617">
        <f>C899+1</f>
        <v>33</v>
      </c>
      <c r="D926" s="166"/>
      <c r="E926" s="1542"/>
      <c r="F926" s="1543"/>
      <c r="G926" s="1543"/>
      <c r="H926" s="1543"/>
      <c r="I926" s="1543"/>
      <c r="J926" s="1544"/>
      <c r="K926" s="1545" t="str">
        <f>IF(E927="","",INDEX(EUwideConstants!$F$353:$F$394,MATCH(E927,EUConst_TierActivityListNames,0)))</f>
        <v/>
      </c>
      <c r="L926" s="1546"/>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3"/>
      <c r="T926" s="509" t="s">
        <v>393</v>
      </c>
      <c r="U926" s="23"/>
      <c r="V926" s="78"/>
      <c r="W926" s="56"/>
      <c r="X926" s="58"/>
      <c r="Y926" s="58"/>
      <c r="Z926" s="58"/>
      <c r="AA926" s="58"/>
      <c r="AB926" s="58"/>
      <c r="AC926" s="58"/>
      <c r="AD926" s="58"/>
      <c r="AE926" s="58"/>
      <c r="AF926" s="58"/>
      <c r="AG926" s="58"/>
      <c r="AH926" s="58"/>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6"/>
      <c r="BZ926" s="619" t="b">
        <f>CNTR_CalcRelevant=EUconst_NotRelevant</f>
        <v>0</v>
      </c>
    </row>
    <row r="927" spans="1:78" s="142" customFormat="1" ht="12" hidden="1" customHeight="1" thickBot="1">
      <c r="A927" s="808"/>
      <c r="B927" s="166"/>
      <c r="C927" s="166"/>
      <c r="D927" s="166"/>
      <c r="E927" s="1547" t="str">
        <f>IF(ISBLANK(E926),"",IF(INDEX(B_InstallationDescription!$E$71:$E$145,MATCH(U925,B_InstallationDescription!$D$71:$D$145,0))&gt;0,INDEX(B_InstallationDescription!$E$71:$E$145,MATCH(U925,B_InstallationDescription!$D$71:$D$145,0)),""))</f>
        <v/>
      </c>
      <c r="F927" s="1548"/>
      <c r="G927" s="1548"/>
      <c r="H927" s="1548"/>
      <c r="I927" s="1548"/>
      <c r="J927" s="1549"/>
      <c r="M927" s="346" t="str">
        <f>Translations!$B$666</f>
        <v>CO2, biomasės kilmės.:</v>
      </c>
      <c r="N927" s="1051" t="str">
        <f>IF(OR(K926="",T927=TRUE),"",INDEX(BC939:BE939,MATCH(K926,BC936:BE936,0)))</f>
        <v/>
      </c>
      <c r="O927" s="742" t="s">
        <v>260</v>
      </c>
      <c r="P927" s="494"/>
      <c r="Q927" s="352" t="str">
        <f>EUconst_SumBioCO2 &amp; "_" &amp; K926</f>
        <v>SUM_bioCO2_</v>
      </c>
      <c r="R927" s="494"/>
      <c r="S927" s="23"/>
      <c r="T927" s="48" t="str">
        <f>IF(E927="","",MATCH(E927,EUConst_TierActivityListNames,0)&gt;40)</f>
        <v/>
      </c>
      <c r="U927" s="23"/>
      <c r="V927" s="78"/>
      <c r="W927" s="56"/>
      <c r="X927" s="58"/>
      <c r="Y927" s="27" t="s">
        <v>93</v>
      </c>
      <c r="Z927" s="30"/>
      <c r="AA927" s="30"/>
      <c r="AB927" s="30"/>
      <c r="AC927" s="30"/>
      <c r="AD927" s="30"/>
      <c r="AE927" s="27" t="s">
        <v>302</v>
      </c>
      <c r="AF927" s="58"/>
      <c r="AG927" s="504"/>
      <c r="AH927" s="30"/>
      <c r="AI927" s="30"/>
      <c r="AJ927" s="504"/>
      <c r="AK927" s="504"/>
      <c r="AL927" s="342"/>
      <c r="AM927" s="27" t="s">
        <v>308</v>
      </c>
      <c r="AN927" s="505"/>
      <c r="AO927" s="505"/>
      <c r="AP927" s="30"/>
      <c r="AQ927" s="30"/>
      <c r="AR927" s="30"/>
      <c r="AS927" s="30"/>
      <c r="AT927" s="30"/>
      <c r="AU927" s="30"/>
      <c r="AV927" s="27" t="s">
        <v>315</v>
      </c>
      <c r="AW927" s="30"/>
      <c r="AX927" s="492"/>
      <c r="AY927" s="30"/>
      <c r="AZ927" s="30"/>
      <c r="BA927" s="30"/>
      <c r="BB927" s="27" t="s">
        <v>219</v>
      </c>
      <c r="BC927" s="30"/>
      <c r="BD927" s="30"/>
      <c r="BE927" s="30"/>
      <c r="BF927" s="30"/>
      <c r="BG927" s="27"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0"/>
      <c r="BZ927" s="30"/>
    </row>
    <row r="928" spans="1:78" s="142" customFormat="1" ht="5.0999999999999996" hidden="1" customHeight="1">
      <c r="A928" s="808"/>
      <c r="B928" s="166"/>
      <c r="C928" s="166"/>
      <c r="D928" s="166"/>
      <c r="E928" s="166"/>
      <c r="F928" s="166"/>
      <c r="G928" s="166"/>
      <c r="M928" s="143"/>
      <c r="N928" s="143"/>
      <c r="O928" s="733"/>
      <c r="P928" s="33"/>
      <c r="Q928" s="33"/>
      <c r="R928" s="33"/>
      <c r="S928" s="23"/>
      <c r="T928" s="23"/>
      <c r="U928" s="23"/>
      <c r="V928" s="78"/>
      <c r="W928" s="30"/>
      <c r="X928" s="30"/>
      <c r="Y928" s="494"/>
      <c r="Z928" s="30"/>
      <c r="AA928" s="30"/>
      <c r="AB928" s="30"/>
      <c r="AC928" s="30"/>
      <c r="AD928" s="30"/>
      <c r="AE928" s="30"/>
      <c r="AF928" s="58"/>
      <c r="AG928" s="30"/>
      <c r="AH928" s="30"/>
      <c r="AI928" s="30"/>
      <c r="AJ928" s="504"/>
      <c r="AK928" s="504"/>
      <c r="AL928" s="342"/>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hidden="1" customHeight="1" thickBot="1">
      <c r="A929" s="808"/>
      <c r="B929" s="166"/>
      <c r="C929" s="166"/>
      <c r="D929" s="166"/>
      <c r="E929" s="1550" t="str">
        <f>IF(E926="","",IF(T927=TRUE,HYPERLINK("#JUMP_14",EUconst_MsgGoOnPFC),HYPERLINK("#JUMP_E_8",EUconst_FurtherGuidancePoint1)))</f>
        <v/>
      </c>
      <c r="F929" s="1550"/>
      <c r="G929" s="1550"/>
      <c r="H929" s="1550"/>
      <c r="I929" s="1550"/>
      <c r="J929" s="1550"/>
      <c r="K929" s="1550"/>
      <c r="L929" s="1550"/>
      <c r="M929" s="1550"/>
      <c r="N929" s="143"/>
      <c r="O929" s="733"/>
      <c r="P929" s="33"/>
      <c r="Q929" s="352" t="str">
        <f>EUconst_SumNonSustBioCO2 &amp; "_" &amp; K926</f>
        <v>SUM_bioNonSustCO2_</v>
      </c>
      <c r="R929" s="707"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4"/>
      <c r="AK929" s="504"/>
      <c r="AL929" s="342"/>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hidden="1" customHeight="1">
      <c r="A930" s="808"/>
      <c r="B930" s="166"/>
      <c r="C930" s="166"/>
      <c r="D930" s="166"/>
      <c r="E930" s="166"/>
      <c r="F930" s="166"/>
      <c r="G930" s="166"/>
      <c r="M930" s="143"/>
      <c r="N930" s="143"/>
      <c r="O930" s="733"/>
      <c r="P930" s="23"/>
      <c r="Q930" s="23"/>
      <c r="R930" s="23"/>
      <c r="S930" s="23"/>
      <c r="T930" s="23"/>
      <c r="U930" s="23"/>
      <c r="V930" s="30"/>
      <c r="W930" s="30"/>
      <c r="X930" s="30"/>
      <c r="Y930" s="494"/>
      <c r="Z930" s="30"/>
      <c r="AA930" s="30"/>
      <c r="AB930" s="30"/>
      <c r="AC930" s="30"/>
      <c r="AD930" s="30"/>
      <c r="AE930" s="30"/>
      <c r="AF930" s="58"/>
      <c r="AG930" s="30"/>
      <c r="AH930" s="30"/>
      <c r="AI930" s="30"/>
      <c r="AJ930" s="504"/>
      <c r="AK930" s="504"/>
      <c r="AL930" s="342"/>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hidden="1" customHeight="1" thickBot="1">
      <c r="A931" s="808"/>
      <c r="B931" s="166"/>
      <c r="C931" s="814" t="s">
        <v>4</v>
      </c>
      <c r="D931" s="512" t="str">
        <f>Translations!$B$622</f>
        <v>VD:</v>
      </c>
      <c r="E931" s="1560" t="str">
        <f>Translations!$B$667</f>
        <v>Ar veiklos duomenys gaunami sudedant išmatuotus kiekius (t. y. ne atliekant nuolatinius matavimus)?</v>
      </c>
      <c r="F931" s="1560"/>
      <c r="G931" s="1560"/>
      <c r="H931" s="1560"/>
      <c r="I931" s="1560"/>
      <c r="J931" s="1560"/>
      <c r="K931" s="1560"/>
      <c r="L931" s="1179"/>
      <c r="M931" s="507"/>
      <c r="O931" s="733"/>
      <c r="P931" s="23"/>
      <c r="Q931" s="23"/>
      <c r="R931" s="23"/>
      <c r="S931" s="23"/>
      <c r="T931" s="23"/>
      <c r="U931" s="23"/>
      <c r="V931" s="30"/>
      <c r="W931" s="30"/>
      <c r="X931" s="30"/>
      <c r="Y931" s="494"/>
      <c r="Z931" s="30"/>
      <c r="AA931" s="30"/>
      <c r="AB931" s="30"/>
      <c r="AC931" s="1172" t="b">
        <f>AND(E926&lt;&gt;"",T927&lt;&gt;TRUE)</f>
        <v>0</v>
      </c>
      <c r="AD931" s="30"/>
      <c r="AE931" s="30"/>
      <c r="AF931" s="58"/>
      <c r="AG931" s="30"/>
      <c r="AH931" s="30"/>
      <c r="AI931" s="30"/>
      <c r="AJ931" s="504"/>
      <c r="AK931" s="504"/>
      <c r="AL931" s="342"/>
      <c r="AM931" s="30"/>
      <c r="AN931" s="30"/>
      <c r="AO931" s="30"/>
      <c r="AP931" s="30"/>
      <c r="AQ931" s="30"/>
      <c r="AR931" s="30"/>
      <c r="AS931" s="30"/>
      <c r="AT931" s="1172"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2" t="b">
        <f>OR(CNTR_CalcRelevant=EUconst_NotRelevant,AND(COUNTA(CNTR_ListRelevantSections)&gt;0,OR(T927=TRUE,E926="")))</f>
        <v>1</v>
      </c>
    </row>
    <row r="932" spans="1:78" s="142" customFormat="1" ht="5.0999999999999996" hidden="1" customHeight="1">
      <c r="A932" s="808"/>
      <c r="B932" s="166"/>
      <c r="C932" s="166"/>
      <c r="D932" s="166"/>
      <c r="E932" s="166"/>
      <c r="F932" s="166"/>
      <c r="G932" s="166"/>
      <c r="H932" s="495"/>
      <c r="I932" s="495"/>
      <c r="J932" s="495"/>
      <c r="K932" s="495"/>
      <c r="L932" s="495"/>
      <c r="M932" s="507"/>
      <c r="O932" s="733"/>
      <c r="P932" s="23"/>
      <c r="Q932" s="23"/>
      <c r="R932" s="23"/>
      <c r="S932" s="23"/>
      <c r="T932" s="23"/>
      <c r="U932" s="23"/>
      <c r="V932" s="30"/>
      <c r="W932" s="30"/>
      <c r="X932" s="30"/>
      <c r="Y932" s="494"/>
      <c r="Z932" s="30"/>
      <c r="AA932" s="30"/>
      <c r="AB932" s="30"/>
      <c r="AC932" s="492"/>
      <c r="AD932" s="30"/>
      <c r="AE932" s="30"/>
      <c r="AF932" s="58"/>
      <c r="AG932" s="30"/>
      <c r="AH932" s="30"/>
      <c r="AI932" s="30"/>
      <c r="AJ932" s="504"/>
      <c r="AK932" s="504"/>
      <c r="AL932" s="342"/>
      <c r="AM932" s="30"/>
      <c r="AN932" s="30"/>
      <c r="AO932" s="30"/>
      <c r="AP932" s="30"/>
      <c r="AQ932" s="30"/>
      <c r="AR932" s="30"/>
      <c r="AS932" s="30"/>
      <c r="AT932" s="492"/>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2"/>
    </row>
    <row r="933" spans="1:78" s="142" customFormat="1" ht="12.75" hidden="1" customHeight="1" thickBot="1">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3"/>
      <c r="Q933" s="23"/>
      <c r="R933" s="23"/>
      <c r="S933" s="23"/>
      <c r="T933" s="23"/>
      <c r="U933" s="23"/>
      <c r="V933" s="30"/>
      <c r="W933" s="30"/>
      <c r="X933" s="30"/>
      <c r="Y933" s="494"/>
      <c r="Z933" s="30"/>
      <c r="AA933" s="30"/>
      <c r="AB933" s="30"/>
      <c r="AC933" s="1172" t="b">
        <f>AC931</f>
        <v>0</v>
      </c>
      <c r="AD933" s="30"/>
      <c r="AE933" s="30"/>
      <c r="AF933" s="58"/>
      <c r="AG933" s="30"/>
      <c r="AH933" s="30"/>
      <c r="AI933" s="30"/>
      <c r="AJ933" s="504"/>
      <c r="AK933" s="504"/>
      <c r="AL933" s="342"/>
      <c r="AM933" s="30"/>
      <c r="AN933" s="30"/>
      <c r="AO933" s="30"/>
      <c r="AP933" s="30"/>
      <c r="AQ933" s="30"/>
      <c r="AR933" s="30"/>
      <c r="AS933" s="30"/>
      <c r="AT933" s="1172"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2" t="b">
        <f>OR(BZ931,AND(NOT(ISBLANK(L931)),L931=FALSE))</f>
        <v>1</v>
      </c>
    </row>
    <row r="934" spans="1:78" s="142" customFormat="1" ht="5.0999999999999996" hidden="1" customHeight="1">
      <c r="A934" s="808"/>
      <c r="B934" s="166"/>
      <c r="C934" s="166"/>
      <c r="D934" s="166"/>
      <c r="E934" s="166"/>
      <c r="F934" s="166"/>
      <c r="G934" s="166"/>
      <c r="M934" s="143"/>
      <c r="N934" s="143"/>
      <c r="O934" s="733"/>
      <c r="P934" s="23"/>
      <c r="Q934" s="23"/>
      <c r="R934" s="23"/>
      <c r="S934" s="23"/>
      <c r="T934" s="23"/>
      <c r="U934" s="23"/>
      <c r="V934" s="30"/>
      <c r="W934" s="30"/>
      <c r="X934" s="30"/>
      <c r="Y934" s="494"/>
      <c r="Z934" s="30"/>
      <c r="AA934" s="30"/>
      <c r="AB934" s="30"/>
      <c r="AC934" s="30"/>
      <c r="AD934" s="30"/>
      <c r="AE934" s="30"/>
      <c r="AF934" s="58"/>
      <c r="AG934" s="30"/>
      <c r="AH934" s="30"/>
      <c r="AI934" s="30"/>
      <c r="AJ934" s="504"/>
      <c r="AK934" s="504"/>
      <c r="AL934" s="342"/>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hidden="1" customHeight="1" thickBot="1">
      <c r="A935" s="808"/>
      <c r="B935" s="166"/>
      <c r="C935" s="166"/>
      <c r="D935" s="166"/>
      <c r="E935" s="166"/>
      <c r="F935" s="506" t="str">
        <f>Translations!$B$333</f>
        <v>Pakopa</v>
      </c>
      <c r="G935" s="1557" t="str">
        <f>Translations!$B$672</f>
        <v>pakopos aprašas</v>
      </c>
      <c r="H935" s="1557"/>
      <c r="I935" s="1555" t="str">
        <f>Translations!$B$158</f>
        <v>Vienetas</v>
      </c>
      <c r="J935" s="1555"/>
      <c r="K935" s="1555" t="str">
        <f>Translations!$B$673</f>
        <v>Vertė</v>
      </c>
      <c r="L935" s="1555"/>
      <c r="M935" s="507" t="str">
        <f>Translations!$B$610</f>
        <v>klaida</v>
      </c>
      <c r="O935" s="733"/>
      <c r="P935" s="508"/>
      <c r="Q935" s="352" t="str">
        <f>EUconst_SumEnergyIN &amp; "_" &amp; K926</f>
        <v>SUM_EnergyIN_</v>
      </c>
      <c r="R935" s="399" t="str">
        <f>IF(OR(K926="",T927)=TRUE,"",INDEX(BC941:BE941,MATCH(K926,BC936:BE936,0)))</f>
        <v/>
      </c>
      <c r="S935" s="30"/>
      <c r="T935" s="489"/>
      <c r="U935" s="30"/>
      <c r="V935" s="509" t="s">
        <v>303</v>
      </c>
      <c r="W935" s="30"/>
      <c r="X935" s="30"/>
      <c r="Y935" s="494" t="s">
        <v>566</v>
      </c>
      <c r="Z935" s="494" t="s">
        <v>318</v>
      </c>
      <c r="AA935" s="30"/>
      <c r="AB935" s="30"/>
      <c r="AC935" s="505" t="s">
        <v>309</v>
      </c>
      <c r="AD935" s="30"/>
      <c r="AE935" s="30"/>
      <c r="AF935" s="492" t="s">
        <v>305</v>
      </c>
      <c r="AG935" s="492" t="s">
        <v>306</v>
      </c>
      <c r="AH935" s="494" t="s">
        <v>304</v>
      </c>
      <c r="AI935" s="504" t="s">
        <v>307</v>
      </c>
      <c r="AJ935" s="504" t="s">
        <v>567</v>
      </c>
      <c r="AK935" s="510" t="s">
        <v>311</v>
      </c>
      <c r="AL935" s="342"/>
      <c r="AM935" s="30"/>
      <c r="AN935" s="492" t="s">
        <v>305</v>
      </c>
      <c r="AO935" s="492" t="s">
        <v>306</v>
      </c>
      <c r="AP935" s="511" t="s">
        <v>310</v>
      </c>
      <c r="AQ935" s="504" t="s">
        <v>569</v>
      </c>
      <c r="AR935" s="504" t="s">
        <v>568</v>
      </c>
      <c r="AS935" s="510" t="s">
        <v>609</v>
      </c>
      <c r="AT935" s="510" t="s">
        <v>609</v>
      </c>
      <c r="AU935" s="30"/>
      <c r="AV935" s="492"/>
      <c r="AW935" s="492"/>
      <c r="AX935" s="492" t="s">
        <v>321</v>
      </c>
      <c r="AY935" s="492"/>
      <c r="AZ935" s="492"/>
      <c r="BA935" s="492"/>
      <c r="BB935" s="492"/>
      <c r="BC935" s="492"/>
      <c r="BD935" s="492"/>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3" t="s">
        <v>262</v>
      </c>
    </row>
    <row r="936" spans="1:78" s="142" customFormat="1" ht="12.75" hidden="1" customHeight="1" thickBot="1">
      <c r="A936" s="808"/>
      <c r="B936" s="166"/>
      <c r="C936" s="777" t="s">
        <v>196</v>
      </c>
      <c r="D936" s="512" t="str">
        <f>Translations!$B$622</f>
        <v>VD:</v>
      </c>
      <c r="E936" s="513"/>
      <c r="F936" s="402"/>
      <c r="G936" s="1532" t="str">
        <f>IF(OR(ISBLANK(F936),F936=EUconst_NoTier),"",IF(Z936=0,EUconst_NA,IF(ISERROR(Z936),"",Z936)))</f>
        <v/>
      </c>
      <c r="H936" s="1533"/>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0"/>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0"/>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0"/>
      <c r="AV936" s="492" t="s">
        <v>314</v>
      </c>
      <c r="AW936" s="492" t="s">
        <v>319</v>
      </c>
      <c r="AX936" s="524"/>
      <c r="AY936" s="30" t="s">
        <v>542</v>
      </c>
      <c r="AZ936" s="30"/>
      <c r="BA936" s="30"/>
      <c r="BB936" s="504"/>
      <c r="BC936" s="493" t="str">
        <f>EUconst_Fuel</f>
        <v>Degimas</v>
      </c>
      <c r="BD936" s="493" t="str">
        <f>EUconst_ProcessCarbonate</f>
        <v>Proceso metu išsiskiriančios ŠESD</v>
      </c>
      <c r="BE936" s="493"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4" t="b">
        <f>BZ931</f>
        <v>1</v>
      </c>
    </row>
    <row r="937" spans="1:78" s="142" customFormat="1" ht="5.0999999999999996" hidden="1" customHeight="1">
      <c r="A937" s="808"/>
      <c r="B937" s="166"/>
      <c r="C937" s="814"/>
      <c r="D937" s="306"/>
      <c r="F937" s="143"/>
      <c r="G937" s="143"/>
      <c r="H937" s="143" t="s">
        <v>236</v>
      </c>
      <c r="I937" s="525"/>
      <c r="J937" s="525"/>
      <c r="K937" s="143"/>
      <c r="L937" s="143"/>
      <c r="M937" s="710"/>
      <c r="O937" s="733"/>
      <c r="P937" s="33"/>
      <c r="Q937" s="33"/>
      <c r="R937" s="33"/>
      <c r="S937" s="30"/>
      <c r="T937" s="155"/>
      <c r="U937" s="497"/>
      <c r="V937" s="30"/>
      <c r="W937" s="30"/>
      <c r="X937" s="497"/>
      <c r="Y937" s="526"/>
      <c r="Z937" s="30"/>
      <c r="AA937" s="30"/>
      <c r="AB937" s="30"/>
      <c r="AC937" s="30"/>
      <c r="AD937" s="30"/>
      <c r="AE937" s="30"/>
      <c r="AF937" s="30"/>
      <c r="AG937" s="30"/>
      <c r="AH937" s="30"/>
      <c r="AI937" s="30"/>
      <c r="AJ937" s="30"/>
      <c r="AK937" s="30"/>
      <c r="AL937" s="342"/>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3"/>
    </row>
    <row r="938" spans="1:78" s="142" customFormat="1" ht="12.75" hidden="1" customHeight="1" thickBot="1">
      <c r="A938" s="808"/>
      <c r="B938" s="166"/>
      <c r="C938" s="814" t="s">
        <v>197</v>
      </c>
      <c r="D938" s="512" t="str">
        <f>Translations!$B$634</f>
        <v>(prelim.) ITF:</v>
      </c>
      <c r="E938" s="513"/>
      <c r="F938" s="527"/>
      <c r="G938" s="1532" t="str">
        <f t="shared" ref="G938:G944" si="224">IF(OR(ISBLANK(F938),F938=EUconst_NoTier),"",IF(Z938=0,EUconst_NotApplicable,IF(ISERROR(Z938),"",Z938)))</f>
        <v/>
      </c>
      <c r="H938" s="1556"/>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3"/>
      <c r="Q938" s="33"/>
      <c r="R938" s="33"/>
      <c r="S938" s="30"/>
      <c r="T938" s="530" t="str">
        <f>EUconst_CNTR_EF&amp;E927</f>
        <v>EF_</v>
      </c>
      <c r="U938" s="497"/>
      <c r="V938" s="531" t="str">
        <f>V936</f>
        <v/>
      </c>
      <c r="W938" s="30"/>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0"/>
      <c r="AC938" s="535" t="b">
        <f>AND(AC936,Y938&lt;&gt;EUconst_NA)</f>
        <v>0</v>
      </c>
      <c r="AD938" s="30"/>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0"/>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0"/>
      <c r="BA938" s="30"/>
      <c r="BB938" s="547" t="s">
        <v>594</v>
      </c>
      <c r="BC938" s="546" t="str">
        <f>IF(K926=BC936,AR936*IF(AJ938=EUconst_tCO2pTJ,(AR939/1000),1)*AR938*AR940*AR944,"")</f>
        <v/>
      </c>
      <c r="BD938" s="524" t="str">
        <f>IF(K926=BD936,AR936*AR938*AR941*AR944,"")</f>
        <v/>
      </c>
      <c r="BE938" s="523"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1" t="b">
        <f>OR(BZ936,Y938=EUconst_NA)</f>
        <v>1</v>
      </c>
    </row>
    <row r="939" spans="1:78" s="142" customFormat="1" ht="12.75" hidden="1" customHeight="1" thickBot="1">
      <c r="A939" s="808"/>
      <c r="B939" s="166"/>
      <c r="C939" s="814" t="s">
        <v>198</v>
      </c>
      <c r="D939" s="512" t="str">
        <f>Translations!$B$636</f>
        <v>GŠV:</v>
      </c>
      <c r="E939" s="513"/>
      <c r="F939" s="548"/>
      <c r="G939" s="1532" t="str">
        <f t="shared" si="224"/>
        <v/>
      </c>
      <c r="H939" s="1533"/>
      <c r="I939" s="1169" t="str">
        <f>AJ939</f>
        <v/>
      </c>
      <c r="J939" s="549"/>
      <c r="K939" s="550" t="str">
        <f t="shared" si="225"/>
        <v/>
      </c>
      <c r="L939" s="551"/>
      <c r="M939" s="709" t="str">
        <f>IF(AND(E927&lt;&gt;"",OR(F939="",COUNT(K939:L939)=0),Y939&lt;&gt;EUconst_NA,T927&lt;&gt;TRUE),EUconst_ERR_Incomplete,IF(COUNTIF(AX939:AZ939,TRUE)&gt;0,EUconst_ERR_Inconsistent,""))</f>
        <v/>
      </c>
      <c r="O939" s="733"/>
      <c r="P939" s="33"/>
      <c r="Q939" s="33"/>
      <c r="R939" s="33"/>
      <c r="S939" s="30"/>
      <c r="T939" s="552" t="str">
        <f>EUconst_CNTR_NCV&amp;E927</f>
        <v>NCV_</v>
      </c>
      <c r="U939" s="497"/>
      <c r="V939" s="553" t="str">
        <f t="shared" ref="V939:V944" si="230">V938</f>
        <v/>
      </c>
      <c r="W939" s="30"/>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0"/>
      <c r="AC939" s="557" t="b">
        <f>AND(AC936,Y939&lt;&gt;EUconst_NA)</f>
        <v>0</v>
      </c>
      <c r="AD939" s="30"/>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0"/>
      <c r="AV939" s="567" t="b">
        <f t="shared" si="227"/>
        <v>0</v>
      </c>
      <c r="AW939" s="568" t="b">
        <f t="shared" si="228"/>
        <v>0</v>
      </c>
      <c r="AX939" s="30"/>
      <c r="AY939" s="553" t="b">
        <f t="shared" si="229"/>
        <v>0</v>
      </c>
      <c r="AZ939" s="30"/>
      <c r="BA939" s="30"/>
      <c r="BB939" s="547" t="s">
        <v>595</v>
      </c>
      <c r="BC939" s="546" t="str">
        <f>IF(K926=BC936,AR936*IF(AJ938=EUconst_tCO2pTJ,(AR939/1000),1)*AR938*AR940*AR943,"")</f>
        <v/>
      </c>
      <c r="BD939" s="524" t="str">
        <f>IF(K926=BD936,AR936*AR938*AR941*AR943,"")</f>
        <v/>
      </c>
      <c r="BE939" s="523"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3" t="b">
        <f>OR(BZ936,Y939=EUconst_NA)</f>
        <v>1</v>
      </c>
    </row>
    <row r="940" spans="1:78" s="142" customFormat="1" ht="12.75" hidden="1" customHeight="1" thickBot="1">
      <c r="A940" s="808"/>
      <c r="B940" s="166"/>
      <c r="C940" s="814" t="s">
        <v>199</v>
      </c>
      <c r="D940" s="512" t="str">
        <f>Translations!$B$638</f>
        <v>OksK:</v>
      </c>
      <c r="E940" s="513"/>
      <c r="F940" s="548"/>
      <c r="G940" s="1532" t="str">
        <f t="shared" si="224"/>
        <v/>
      </c>
      <c r="H940" s="1533"/>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3"/>
      <c r="Q940" s="33"/>
      <c r="R940" s="33"/>
      <c r="S940" s="30"/>
      <c r="T940" s="552" t="str">
        <f>EUconst_CNTR_OxidationFactor&amp;E927</f>
        <v>OxF_</v>
      </c>
      <c r="U940" s="497"/>
      <c r="V940" s="553" t="str">
        <f t="shared" si="230"/>
        <v/>
      </c>
      <c r="W940" s="30"/>
      <c r="X940" s="497"/>
      <c r="Y940" s="554" t="str">
        <f>IF(OR(T927=TRUE,E927=""),"",INDEX(EUwideConstants!$N:$N,MATCH(T940,EUwideConstants!$Q:$Q,0)))</f>
        <v/>
      </c>
      <c r="Z940" s="555" t="str">
        <f>IF(ISBLANK(F940),"",IF(F940=EUconst_NA,"",INDEX(EUwideConstants!$H:$M,MATCH(T940,EUwideConstants!$Q:$Q,0),MATCH(F940,CNTR_TierList,0))))</f>
        <v/>
      </c>
      <c r="AA940" s="534" t="str">
        <f>IF(F940=1,1,"")</f>
        <v/>
      </c>
      <c r="AB940" s="30"/>
      <c r="AC940" s="557" t="b">
        <f>AND(AC936,Y940&lt;&gt;EUconst_NA)</f>
        <v>0</v>
      </c>
      <c r="AD940" s="30"/>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0"/>
      <c r="AV940" s="567" t="b">
        <f t="shared" si="227"/>
        <v>0</v>
      </c>
      <c r="AW940" s="568" t="b">
        <f t="shared" si="228"/>
        <v>0</v>
      </c>
      <c r="AX940" s="30"/>
      <c r="AY940" s="594" t="b">
        <f t="shared" si="229"/>
        <v>0</v>
      </c>
      <c r="AZ940" s="531" t="b">
        <f>AR940&gt;100%</f>
        <v>0</v>
      </c>
      <c r="BA940" s="30"/>
      <c r="BB940" s="547" t="s">
        <v>290</v>
      </c>
      <c r="BC940" s="546" t="str">
        <f>IF(K926=BC936,AR936*IF(AJ938=EUconst_tCO2pTJ,(AR939/1000),1)*AR938*AR940*(1-AR943),"")</f>
        <v/>
      </c>
      <c r="BD940" s="524" t="str">
        <f>IF(K926=BD936,AR936*AR938*AR941*(1-AR943),"")</f>
        <v/>
      </c>
      <c r="BE940" s="523"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3" t="b">
        <f>OR(BZ936,Y940=EUconst_NA)</f>
        <v>1</v>
      </c>
    </row>
    <row r="941" spans="1:78" s="142" customFormat="1" ht="12.75" hidden="1" customHeight="1" thickBot="1">
      <c r="A941" s="808"/>
      <c r="B941" s="166"/>
      <c r="C941" s="814" t="s">
        <v>200</v>
      </c>
      <c r="D941" s="512" t="str">
        <f>Translations!$B$639</f>
        <v>KonvK:</v>
      </c>
      <c r="E941" s="513"/>
      <c r="F941" s="548"/>
      <c r="G941" s="1532" t="str">
        <f t="shared" si="224"/>
        <v/>
      </c>
      <c r="H941" s="1533"/>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3"/>
      <c r="Q941" s="33"/>
      <c r="R941" s="33"/>
      <c r="S941" s="30"/>
      <c r="T941" s="552" t="str">
        <f>EUconst_CNTR_ConversionFactor&amp;E927</f>
        <v>ConvF_</v>
      </c>
      <c r="U941" s="497"/>
      <c r="V941" s="553" t="str">
        <f t="shared" si="230"/>
        <v/>
      </c>
      <c r="W941" s="30"/>
      <c r="X941" s="497"/>
      <c r="Y941" s="554" t="str">
        <f>IF(OR(T927=TRUE,E927=""),"",INDEX(EUwideConstants!$N:$N,MATCH(T941,EUwideConstants!$Q:$Q,0)))</f>
        <v/>
      </c>
      <c r="Z941" s="555" t="str">
        <f>IF(ISBLANK(F941),"",IF(F941=EUconst_NA,"",INDEX(EUwideConstants!$H:$M,MATCH(T941,EUwideConstants!$Q:$Q,0),MATCH(F941,CNTR_TierList,0))))</f>
        <v/>
      </c>
      <c r="AA941" s="582" t="str">
        <f>IF(F941=1,1,"")</f>
        <v/>
      </c>
      <c r="AB941" s="30"/>
      <c r="AC941" s="557" t="b">
        <f>AND(AC936,Y941&lt;&gt;EUconst_NA)</f>
        <v>0</v>
      </c>
      <c r="AD941" s="30"/>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0"/>
      <c r="AV941" s="567" t="b">
        <f t="shared" si="227"/>
        <v>0</v>
      </c>
      <c r="AW941" s="568" t="b">
        <f t="shared" si="228"/>
        <v>0</v>
      </c>
      <c r="AX941" s="30"/>
      <c r="AY941" s="594" t="b">
        <f t="shared" si="229"/>
        <v>0</v>
      </c>
      <c r="AZ941" s="580" t="b">
        <f>AR941&gt;100%</f>
        <v>0</v>
      </c>
      <c r="BA941" s="30"/>
      <c r="BB941" s="578" t="s">
        <v>487</v>
      </c>
      <c r="BC941" s="579">
        <f>AR936*AR939/1000*(1-AR943)</f>
        <v>0</v>
      </c>
      <c r="BD941" s="580">
        <f>BC941</f>
        <v>0</v>
      </c>
      <c r="BE941" s="581">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3" t="b">
        <f>OR(BZ936,Y941=EUconst_NA)</f>
        <v>1</v>
      </c>
    </row>
    <row r="942" spans="1:78" s="142" customFormat="1" ht="12.75" hidden="1" customHeight="1" thickBot="1">
      <c r="A942" s="808"/>
      <c r="B942" s="166"/>
      <c r="C942" s="814" t="s">
        <v>329</v>
      </c>
      <c r="D942" s="512" t="str">
        <f>Translations!$B$640</f>
        <v>AnglK:</v>
      </c>
      <c r="E942" s="513"/>
      <c r="F942" s="548"/>
      <c r="G942" s="1532" t="str">
        <f t="shared" si="224"/>
        <v/>
      </c>
      <c r="H942" s="1533"/>
      <c r="I942" s="1170" t="str">
        <f>AJ942</f>
        <v/>
      </c>
      <c r="J942" s="586"/>
      <c r="K942" s="587" t="str">
        <f t="shared" si="225"/>
        <v/>
      </c>
      <c r="L942" s="588"/>
      <c r="M942" s="709" t="str">
        <f>IF(AND(E927&lt;&gt;"",OR(F942="",COUNT(K942:L942)=0),Y942&lt;&gt;EUconst_NA,T927&lt;&gt;TRUE),EUconst_ERR_Incomplete,IF(COUNTIF(AX942:AZ942,TRUE)&gt;0,EUconst_ERR_Inconsistent,""))</f>
        <v/>
      </c>
      <c r="O942" s="733"/>
      <c r="P942" s="33"/>
      <c r="Q942" s="33"/>
      <c r="R942" s="33"/>
      <c r="S942" s="30"/>
      <c r="T942" s="552" t="str">
        <f>EUconst_CNTR_CarbonContent&amp;E927</f>
        <v>CarbC_</v>
      </c>
      <c r="U942" s="497"/>
      <c r="V942" s="553" t="str">
        <f t="shared" si="230"/>
        <v/>
      </c>
      <c r="W942" s="30"/>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0"/>
      <c r="AC942" s="557" t="b">
        <f>AND(AC936,Y942&lt;&gt;EUconst_NA)</f>
        <v>0</v>
      </c>
      <c r="AD942" s="30"/>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0"/>
      <c r="AV942" s="567" t="b">
        <f t="shared" si="227"/>
        <v>0</v>
      </c>
      <c r="AW942" s="568" t="b">
        <f t="shared" si="228"/>
        <v>0</v>
      </c>
      <c r="AX942" s="546" t="b">
        <f>OR(AND(AJ936=EUconst_kNm3,AJ942=EUconst_tCpt),AND(AJ936=EUconst_t,AJ942=EUconst_tCpkNm3))</f>
        <v>0</v>
      </c>
      <c r="AY942" s="553" t="b">
        <f t="shared" si="229"/>
        <v>0</v>
      </c>
      <c r="AZ942" s="30"/>
      <c r="BA942" s="30"/>
      <c r="BB942" s="578" t="s">
        <v>488</v>
      </c>
      <c r="BC942" s="579">
        <f>AR936*AR939/1000*AR943</f>
        <v>0</v>
      </c>
      <c r="BD942" s="580">
        <f>BC942</f>
        <v>0</v>
      </c>
      <c r="BE942" s="581">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3" t="b">
        <f>OR(BZ936,Y942=EUconst_NA)</f>
        <v>1</v>
      </c>
    </row>
    <row r="943" spans="1:78" s="142" customFormat="1" ht="12.75" hidden="1" customHeight="1">
      <c r="A943" s="808"/>
      <c r="B943" s="166"/>
      <c r="C943" s="777" t="s">
        <v>330</v>
      </c>
      <c r="D943" s="512" t="str">
        <f>Translations!$B$641</f>
        <v>BioC:</v>
      </c>
      <c r="E943" s="513"/>
      <c r="F943" s="548"/>
      <c r="G943" s="1532" t="str">
        <f t="shared" si="224"/>
        <v/>
      </c>
      <c r="H943" s="1533"/>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0"/>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0"/>
      <c r="AC943" s="557" t="b">
        <f>AND(AC936,Y943&lt;&gt;EUconst_NA)</f>
        <v>0</v>
      </c>
      <c r="AD943" s="30"/>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0"/>
      <c r="AV943" s="567" t="b">
        <f t="shared" si="227"/>
        <v>0</v>
      </c>
      <c r="AW943" s="568" t="b">
        <f t="shared" si="228"/>
        <v>0</v>
      </c>
      <c r="AX943" s="30"/>
      <c r="AY943" s="594" t="b">
        <f t="shared" si="229"/>
        <v>0</v>
      </c>
      <c r="AZ943" s="531"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3" t="b">
        <f>OR(BZ936,Y943=EUconst_NA)</f>
        <v>1</v>
      </c>
    </row>
    <row r="944" spans="1:78" s="142" customFormat="1" ht="12.75" hidden="1" customHeight="1" thickBot="1">
      <c r="A944" s="808"/>
      <c r="B944" s="166"/>
      <c r="C944" s="777" t="s">
        <v>454</v>
      </c>
      <c r="D944" s="512" t="str">
        <f>Translations!$B$647</f>
        <v>Netvar. BioC:</v>
      </c>
      <c r="E944" s="513"/>
      <c r="F944" s="597"/>
      <c r="G944" s="1532" t="str">
        <f t="shared" si="224"/>
        <v/>
      </c>
      <c r="H944" s="1533"/>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0"/>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0"/>
      <c r="AC944" s="603" t="b">
        <f>AND(AC936,Y944&lt;&gt;EUconst_NA)</f>
        <v>0</v>
      </c>
      <c r="AD944" s="30"/>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0"/>
      <c r="AV944" s="613" t="b">
        <f t="shared" si="227"/>
        <v>0</v>
      </c>
      <c r="AW944" s="614" t="b">
        <f t="shared" si="228"/>
        <v>0</v>
      </c>
      <c r="AX944" s="30"/>
      <c r="AY944" s="579" t="b">
        <f t="shared" si="229"/>
        <v>0</v>
      </c>
      <c r="AZ944" s="580"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80" t="b">
        <f>OR(BZ936,Y944=EUconst_NA)</f>
        <v>1</v>
      </c>
    </row>
    <row r="945" spans="1:78" s="142" customFormat="1" ht="5.0999999999999996" hidden="1" customHeight="1">
      <c r="A945" s="808"/>
      <c r="B945" s="166"/>
      <c r="C945" s="166"/>
      <c r="D945" s="180"/>
      <c r="O945" s="733"/>
      <c r="P945" s="33"/>
      <c r="Q945" s="33"/>
      <c r="R945" s="33"/>
      <c r="S945" s="174"/>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hidden="1" customHeight="1">
      <c r="A946" s="808"/>
      <c r="B946" s="166"/>
      <c r="C946" s="166"/>
      <c r="D946" s="1558" t="str">
        <f>Translations!$B$674</f>
        <v>Pakopos galioja nuo:</v>
      </c>
      <c r="E946" s="1558"/>
      <c r="F946" s="1559"/>
      <c r="G946" s="1052"/>
      <c r="H946" s="615" t="str">
        <f>Translations!$B$675</f>
        <v>iki:</v>
      </c>
      <c r="I946" s="1052"/>
      <c r="J946" s="1536" t="str">
        <f>Translations!$B$676</f>
        <v>Atliekų katalogo numeris (jeigu taikytina):</v>
      </c>
      <c r="K946" s="1537"/>
      <c r="L946" s="1537"/>
      <c r="M946" s="1538"/>
      <c r="N946" s="1289"/>
      <c r="O946" s="733"/>
      <c r="P946" s="33"/>
      <c r="Q946" s="33"/>
      <c r="R946" s="33"/>
      <c r="S946" s="1290"/>
      <c r="T946" s="492"/>
      <c r="U946" s="492"/>
      <c r="V946" s="48" t="b">
        <f>IF(V936="",FALSE,INDEX(CNTR_IsWaste,MATCH(V936,MSParameters!$A$218:$A$376,0)))</f>
        <v>0</v>
      </c>
      <c r="W946" s="1290"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4.5" hidden="1" customHeight="1">
      <c r="A947" s="808"/>
      <c r="B947" s="166"/>
      <c r="C947" s="166"/>
      <c r="D947" s="615"/>
      <c r="E947" s="495"/>
      <c r="F947" s="495"/>
      <c r="G947" s="495"/>
      <c r="H947" s="495"/>
      <c r="I947" s="495"/>
      <c r="J947" s="495"/>
      <c r="K947" s="495"/>
      <c r="L947" s="495"/>
      <c r="M947" s="495"/>
      <c r="N947" s="495"/>
      <c r="O947" s="733"/>
      <c r="P947" s="33"/>
      <c r="Q947" s="33"/>
      <c r="R947" s="33"/>
      <c r="S947" s="174"/>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hidden="1" customHeight="1">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3"/>
      <c r="Q948" s="33"/>
      <c r="R948" s="33"/>
      <c r="S948" s="174"/>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hidden="1" customHeight="1">
      <c r="A949" s="815"/>
      <c r="D949" s="180"/>
      <c r="O949" s="573"/>
      <c r="P949" s="497"/>
      <c r="Q949" s="497"/>
      <c r="R949" s="497"/>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hidden="1">
      <c r="A950" s="815"/>
      <c r="D950" s="1534" t="str">
        <f>Translations!$B$160</f>
        <v>Pastabos:</v>
      </c>
      <c r="E950" s="1535"/>
      <c r="F950" s="1539"/>
      <c r="G950" s="1540"/>
      <c r="H950" s="1540"/>
      <c r="I950" s="1540"/>
      <c r="J950" s="1540"/>
      <c r="K950" s="1540"/>
      <c r="L950" s="1540"/>
      <c r="M950" s="1540"/>
      <c r="N950" s="1541"/>
      <c r="O950" s="573"/>
      <c r="P950" s="497"/>
      <c r="Q950" s="497"/>
      <c r="R950" s="497"/>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c r="A951" s="808"/>
      <c r="B951" s="495"/>
      <c r="C951" s="499"/>
      <c r="D951" s="500"/>
      <c r="E951" s="501"/>
      <c r="F951" s="499"/>
      <c r="G951" s="502"/>
      <c r="H951" s="502"/>
      <c r="I951" s="502"/>
      <c r="J951" s="502"/>
      <c r="K951" s="502"/>
      <c r="L951" s="502"/>
      <c r="M951" s="502"/>
      <c r="N951" s="502"/>
      <c r="O951" s="740"/>
      <c r="P951" s="494"/>
      <c r="Q951" s="494"/>
      <c r="R951" s="494"/>
      <c r="S951" s="58"/>
      <c r="T951" s="58"/>
      <c r="U951" s="498"/>
      <c r="V951" s="58"/>
      <c r="W951" s="58"/>
      <c r="X951" s="49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c r="A952" s="813"/>
      <c r="B952" s="495"/>
      <c r="C952" s="495"/>
      <c r="D952" s="180"/>
      <c r="E952" s="496"/>
      <c r="F952" s="495"/>
      <c r="G952" s="487"/>
      <c r="H952" s="487"/>
      <c r="I952" s="487"/>
      <c r="J952" s="487"/>
      <c r="K952" s="495"/>
      <c r="L952" s="487"/>
      <c r="M952" s="487"/>
      <c r="N952" s="487"/>
      <c r="O952" s="740"/>
      <c r="P952" s="494"/>
      <c r="Q952" s="494"/>
      <c r="R952" s="494"/>
      <c r="S952" s="23"/>
      <c r="T952" s="27" t="str">
        <f>IF(ISBLANK(E953),"",MATCH(E953,CNTR_SourceStreamNames,0))</f>
        <v/>
      </c>
      <c r="U952" s="618"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1"/>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3" t="s">
        <v>262</v>
      </c>
    </row>
    <row r="953" spans="1:78" s="142" customFormat="1" ht="15" hidden="1" customHeight="1" thickBot="1">
      <c r="A953" s="869" t="str">
        <f>IF(E953="","","PRINT")</f>
        <v/>
      </c>
      <c r="B953" s="166"/>
      <c r="C953" s="617">
        <f>C926+1</f>
        <v>34</v>
      </c>
      <c r="D953" s="166"/>
      <c r="E953" s="1542"/>
      <c r="F953" s="1543"/>
      <c r="G953" s="1543"/>
      <c r="H953" s="1543"/>
      <c r="I953" s="1543"/>
      <c r="J953" s="1544"/>
      <c r="K953" s="1545" t="str">
        <f>IF(E954="","",INDEX(EUwideConstants!$F$353:$F$394,MATCH(E954,EUConst_TierActivityListNames,0)))</f>
        <v/>
      </c>
      <c r="L953" s="1546"/>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3"/>
      <c r="T953" s="509" t="s">
        <v>393</v>
      </c>
      <c r="U953" s="23"/>
      <c r="V953" s="78"/>
      <c r="W953" s="56"/>
      <c r="X953" s="58"/>
      <c r="Y953" s="58"/>
      <c r="Z953" s="58"/>
      <c r="AA953" s="58"/>
      <c r="AB953" s="58"/>
      <c r="AC953" s="58"/>
      <c r="AD953" s="58"/>
      <c r="AE953" s="58"/>
      <c r="AF953" s="58"/>
      <c r="AG953" s="58"/>
      <c r="AH953" s="58"/>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6"/>
      <c r="BZ953" s="619" t="b">
        <f>CNTR_CalcRelevant=EUconst_NotRelevant</f>
        <v>0</v>
      </c>
    </row>
    <row r="954" spans="1:78" s="142" customFormat="1" ht="15" hidden="1" customHeight="1" thickBot="1">
      <c r="A954" s="808"/>
      <c r="B954" s="166"/>
      <c r="C954" s="166"/>
      <c r="D954" s="166"/>
      <c r="E954" s="1547" t="str">
        <f>IF(ISBLANK(E953),"",IF(INDEX(B_InstallationDescription!$E$71:$E$145,MATCH(U952,B_InstallationDescription!$D$71:$D$145,0))&gt;0,INDEX(B_InstallationDescription!$E$71:$E$145,MATCH(U952,B_InstallationDescription!$D$71:$D$145,0)),""))</f>
        <v/>
      </c>
      <c r="F954" s="1548"/>
      <c r="G954" s="1548"/>
      <c r="H954" s="1548"/>
      <c r="I954" s="1548"/>
      <c r="J954" s="1549"/>
      <c r="M954" s="346" t="str">
        <f>Translations!$B$666</f>
        <v>CO2, biomasės kilmės.:</v>
      </c>
      <c r="N954" s="1051" t="str">
        <f>IF(OR(K953="",T954=TRUE),"",INDEX(BC966:BE966,MATCH(K953,BC963:BE963,0)))</f>
        <v/>
      </c>
      <c r="O954" s="742" t="s">
        <v>260</v>
      </c>
      <c r="P954" s="494"/>
      <c r="Q954" s="352" t="str">
        <f>EUconst_SumBioCO2 &amp; "_" &amp; K953</f>
        <v>SUM_bioCO2_</v>
      </c>
      <c r="R954" s="494"/>
      <c r="S954" s="23"/>
      <c r="T954" s="48" t="str">
        <f>IF(E954="","",MATCH(E954,EUConst_TierActivityListNames,0)&gt;40)</f>
        <v/>
      </c>
      <c r="U954" s="23"/>
      <c r="V954" s="78"/>
      <c r="W954" s="56"/>
      <c r="X954" s="58"/>
      <c r="Y954" s="27" t="s">
        <v>93</v>
      </c>
      <c r="Z954" s="30"/>
      <c r="AA954" s="30"/>
      <c r="AB954" s="30"/>
      <c r="AC954" s="30"/>
      <c r="AD954" s="30"/>
      <c r="AE954" s="27" t="s">
        <v>302</v>
      </c>
      <c r="AF954" s="58"/>
      <c r="AG954" s="504"/>
      <c r="AH954" s="30"/>
      <c r="AI954" s="30"/>
      <c r="AJ954" s="504"/>
      <c r="AK954" s="504"/>
      <c r="AL954" s="342"/>
      <c r="AM954" s="27" t="s">
        <v>308</v>
      </c>
      <c r="AN954" s="505"/>
      <c r="AO954" s="505"/>
      <c r="AP954" s="30"/>
      <c r="AQ954" s="30"/>
      <c r="AR954" s="30"/>
      <c r="AS954" s="30"/>
      <c r="AT954" s="30"/>
      <c r="AU954" s="30"/>
      <c r="AV954" s="27" t="s">
        <v>315</v>
      </c>
      <c r="AW954" s="30"/>
      <c r="AX954" s="492"/>
      <c r="AY954" s="30"/>
      <c r="AZ954" s="30"/>
      <c r="BA954" s="30"/>
      <c r="BB954" s="27" t="s">
        <v>219</v>
      </c>
      <c r="BC954" s="30"/>
      <c r="BD954" s="30"/>
      <c r="BE954" s="30"/>
      <c r="BF954" s="30"/>
      <c r="BG954" s="27"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0"/>
      <c r="BZ954" s="30"/>
    </row>
    <row r="955" spans="1:78" s="142" customFormat="1" ht="4.5" hidden="1" customHeight="1">
      <c r="A955" s="808"/>
      <c r="B955" s="166"/>
      <c r="C955" s="166"/>
      <c r="D955" s="166"/>
      <c r="E955" s="166"/>
      <c r="F955" s="166"/>
      <c r="G955" s="166"/>
      <c r="M955" s="143"/>
      <c r="N955" s="143"/>
      <c r="O955" s="733"/>
      <c r="P955" s="33"/>
      <c r="Q955" s="33"/>
      <c r="R955" s="33"/>
      <c r="S955" s="23"/>
      <c r="T955" s="23"/>
      <c r="U955" s="23"/>
      <c r="V955" s="78"/>
      <c r="W955" s="30"/>
      <c r="X955" s="30"/>
      <c r="Y955" s="494"/>
      <c r="Z955" s="30"/>
      <c r="AA955" s="30"/>
      <c r="AB955" s="30"/>
      <c r="AC955" s="30"/>
      <c r="AD955" s="30"/>
      <c r="AE955" s="30"/>
      <c r="AF955" s="58"/>
      <c r="AG955" s="30"/>
      <c r="AH955" s="30"/>
      <c r="AI955" s="30"/>
      <c r="AJ955" s="504"/>
      <c r="AK955" s="504"/>
      <c r="AL955" s="342"/>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hidden="1" customHeight="1" thickBot="1">
      <c r="A956" s="808"/>
      <c r="B956" s="166"/>
      <c r="C956" s="166"/>
      <c r="D956" s="166"/>
      <c r="E956" s="1550" t="str">
        <f>IF(E953="","",IF(T954=TRUE,HYPERLINK("#JUMP_14",EUconst_MsgGoOnPFC),HYPERLINK("#JUMP_E_8",EUconst_FurtherGuidancePoint1)))</f>
        <v/>
      </c>
      <c r="F956" s="1550"/>
      <c r="G956" s="1550"/>
      <c r="H956" s="1550"/>
      <c r="I956" s="1550"/>
      <c r="J956" s="1550"/>
      <c r="K956" s="1550"/>
      <c r="L956" s="1550"/>
      <c r="M956" s="1550"/>
      <c r="N956" s="143"/>
      <c r="O956" s="733"/>
      <c r="P956" s="33"/>
      <c r="Q956" s="352" t="str">
        <f>EUconst_SumNonSustBioCO2 &amp; "_" &amp; K953</f>
        <v>SUM_bioNonSustCO2_</v>
      </c>
      <c r="R956" s="707"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4"/>
      <c r="AK956" s="504"/>
      <c r="AL956" s="342"/>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hidden="1" customHeight="1">
      <c r="A957" s="808"/>
      <c r="B957" s="166"/>
      <c r="C957" s="166"/>
      <c r="D957" s="166"/>
      <c r="E957" s="166"/>
      <c r="F957" s="166"/>
      <c r="G957" s="166"/>
      <c r="M957" s="143"/>
      <c r="N957" s="143"/>
      <c r="O957" s="733"/>
      <c r="P957" s="23"/>
      <c r="Q957" s="23"/>
      <c r="R957" s="23"/>
      <c r="S957" s="23"/>
      <c r="T957" s="23"/>
      <c r="U957" s="23"/>
      <c r="V957" s="30"/>
      <c r="W957" s="30"/>
      <c r="X957" s="30"/>
      <c r="Y957" s="494"/>
      <c r="Z957" s="30"/>
      <c r="AA957" s="30"/>
      <c r="AB957" s="30"/>
      <c r="AC957" s="30"/>
      <c r="AD957" s="30"/>
      <c r="AE957" s="30"/>
      <c r="AF957" s="58"/>
      <c r="AG957" s="30"/>
      <c r="AH957" s="30"/>
      <c r="AI957" s="30"/>
      <c r="AJ957" s="504"/>
      <c r="AK957" s="504"/>
      <c r="AL957" s="342"/>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hidden="1" customHeight="1" thickBot="1">
      <c r="A958" s="808"/>
      <c r="B958" s="166"/>
      <c r="C958" s="814" t="s">
        <v>4</v>
      </c>
      <c r="D958" s="512" t="str">
        <f>Translations!$B$622</f>
        <v>VD:</v>
      </c>
      <c r="E958" s="1560" t="str">
        <f>Translations!$B$667</f>
        <v>Ar veiklos duomenys gaunami sudedant išmatuotus kiekius (t. y. ne atliekant nuolatinius matavimus)?</v>
      </c>
      <c r="F958" s="1560"/>
      <c r="G958" s="1560"/>
      <c r="H958" s="1560"/>
      <c r="I958" s="1560"/>
      <c r="J958" s="1560"/>
      <c r="K958" s="1560"/>
      <c r="L958" s="1179"/>
      <c r="M958" s="507"/>
      <c r="O958" s="733"/>
      <c r="P958" s="23"/>
      <c r="Q958" s="23"/>
      <c r="R958" s="23"/>
      <c r="S958" s="23"/>
      <c r="T958" s="23"/>
      <c r="U958" s="23"/>
      <c r="V958" s="30"/>
      <c r="W958" s="30"/>
      <c r="X958" s="30"/>
      <c r="Y958" s="494"/>
      <c r="Z958" s="30"/>
      <c r="AA958" s="30"/>
      <c r="AB958" s="30"/>
      <c r="AC958" s="1172" t="b">
        <f>AND(E953&lt;&gt;"",T954&lt;&gt;TRUE)</f>
        <v>0</v>
      </c>
      <c r="AD958" s="30"/>
      <c r="AE958" s="30"/>
      <c r="AF958" s="58"/>
      <c r="AG958" s="30"/>
      <c r="AH958" s="30"/>
      <c r="AI958" s="30"/>
      <c r="AJ958" s="504"/>
      <c r="AK958" s="504"/>
      <c r="AL958" s="342"/>
      <c r="AM958" s="30"/>
      <c r="AN958" s="30"/>
      <c r="AO958" s="30"/>
      <c r="AP958" s="30"/>
      <c r="AQ958" s="30"/>
      <c r="AR958" s="30"/>
      <c r="AS958" s="30"/>
      <c r="AT958" s="1172"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2" t="b">
        <f>OR(CNTR_CalcRelevant=EUconst_NotRelevant,AND(COUNTA(CNTR_ListRelevantSections)&gt;0,OR(T954=TRUE,E953="")))</f>
        <v>1</v>
      </c>
    </row>
    <row r="959" spans="1:78" s="142" customFormat="1" ht="4.5" hidden="1" customHeight="1">
      <c r="A959" s="808"/>
      <c r="B959" s="166"/>
      <c r="C959" s="166"/>
      <c r="D959" s="166"/>
      <c r="E959" s="166"/>
      <c r="F959" s="166"/>
      <c r="G959" s="166"/>
      <c r="H959" s="495"/>
      <c r="I959" s="495"/>
      <c r="J959" s="495"/>
      <c r="K959" s="495"/>
      <c r="L959" s="495"/>
      <c r="M959" s="507"/>
      <c r="O959" s="733"/>
      <c r="P959" s="23"/>
      <c r="Q959" s="23"/>
      <c r="R959" s="23"/>
      <c r="S959" s="23"/>
      <c r="T959" s="23"/>
      <c r="U959" s="23"/>
      <c r="V959" s="30"/>
      <c r="W959" s="30"/>
      <c r="X959" s="30"/>
      <c r="Y959" s="494"/>
      <c r="Z959" s="30"/>
      <c r="AA959" s="30"/>
      <c r="AB959" s="30"/>
      <c r="AC959" s="492"/>
      <c r="AD959" s="30"/>
      <c r="AE959" s="30"/>
      <c r="AF959" s="58"/>
      <c r="AG959" s="30"/>
      <c r="AH959" s="30"/>
      <c r="AI959" s="30"/>
      <c r="AJ959" s="504"/>
      <c r="AK959" s="504"/>
      <c r="AL959" s="342"/>
      <c r="AM959" s="30"/>
      <c r="AN959" s="30"/>
      <c r="AO959" s="30"/>
      <c r="AP959" s="30"/>
      <c r="AQ959" s="30"/>
      <c r="AR959" s="30"/>
      <c r="AS959" s="30"/>
      <c r="AT959" s="492"/>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2"/>
    </row>
    <row r="960" spans="1:78" s="142" customFormat="1" ht="12.75" hidden="1" customHeight="1" thickBot="1">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3"/>
      <c r="Q960" s="23"/>
      <c r="R960" s="23"/>
      <c r="S960" s="23"/>
      <c r="T960" s="23"/>
      <c r="U960" s="23"/>
      <c r="V960" s="30"/>
      <c r="W960" s="30"/>
      <c r="X960" s="30"/>
      <c r="Y960" s="494"/>
      <c r="Z960" s="30"/>
      <c r="AA960" s="30"/>
      <c r="AB960" s="30"/>
      <c r="AC960" s="1172" t="b">
        <f>AC958</f>
        <v>0</v>
      </c>
      <c r="AD960" s="30"/>
      <c r="AE960" s="30"/>
      <c r="AF960" s="58"/>
      <c r="AG960" s="30"/>
      <c r="AH960" s="30"/>
      <c r="AI960" s="30"/>
      <c r="AJ960" s="504"/>
      <c r="AK960" s="504"/>
      <c r="AL960" s="342"/>
      <c r="AM960" s="30"/>
      <c r="AN960" s="30"/>
      <c r="AO960" s="30"/>
      <c r="AP960" s="30"/>
      <c r="AQ960" s="30"/>
      <c r="AR960" s="30"/>
      <c r="AS960" s="30"/>
      <c r="AT960" s="1172"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2" t="b">
        <f>OR(BZ958,AND(NOT(ISBLANK(L958)),L958=FALSE))</f>
        <v>1</v>
      </c>
    </row>
    <row r="961" spans="1:78" s="142" customFormat="1" ht="5.0999999999999996" hidden="1" customHeight="1">
      <c r="A961" s="808"/>
      <c r="B961" s="166"/>
      <c r="C961" s="166"/>
      <c r="D961" s="166"/>
      <c r="E961" s="166"/>
      <c r="F961" s="166"/>
      <c r="G961" s="166"/>
      <c r="M961" s="143"/>
      <c r="N961" s="143"/>
      <c r="O961" s="733"/>
      <c r="P961" s="23"/>
      <c r="Q961" s="23"/>
      <c r="R961" s="23"/>
      <c r="S961" s="23"/>
      <c r="T961" s="23"/>
      <c r="U961" s="23"/>
      <c r="V961" s="30"/>
      <c r="W961" s="30"/>
      <c r="X961" s="30"/>
      <c r="Y961" s="494"/>
      <c r="Z961" s="30"/>
      <c r="AA961" s="30"/>
      <c r="AB961" s="30"/>
      <c r="AC961" s="30"/>
      <c r="AD961" s="30"/>
      <c r="AE961" s="30"/>
      <c r="AF961" s="58"/>
      <c r="AG961" s="30"/>
      <c r="AH961" s="30"/>
      <c r="AI961" s="30"/>
      <c r="AJ961" s="504"/>
      <c r="AK961" s="504"/>
      <c r="AL961" s="342"/>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hidden="1" customHeight="1" thickBot="1">
      <c r="A962" s="808"/>
      <c r="B962" s="166"/>
      <c r="C962" s="166"/>
      <c r="D962" s="166"/>
      <c r="E962" s="166"/>
      <c r="F962" s="506" t="str">
        <f>Translations!$B$333</f>
        <v>Pakopa</v>
      </c>
      <c r="G962" s="1557" t="str">
        <f>Translations!$B$672</f>
        <v>pakopos aprašas</v>
      </c>
      <c r="H962" s="1557"/>
      <c r="I962" s="1555" t="str">
        <f>Translations!$B$158</f>
        <v>Vienetas</v>
      </c>
      <c r="J962" s="1555"/>
      <c r="K962" s="1555" t="str">
        <f>Translations!$B$673</f>
        <v>Vertė</v>
      </c>
      <c r="L962" s="1555"/>
      <c r="M962" s="507" t="str">
        <f>Translations!$B$610</f>
        <v>klaida</v>
      </c>
      <c r="O962" s="733"/>
      <c r="P962" s="508"/>
      <c r="Q962" s="352" t="str">
        <f>EUconst_SumEnergyIN &amp; "_" &amp; K953</f>
        <v>SUM_EnergyIN_</v>
      </c>
      <c r="R962" s="399" t="str">
        <f>IF(OR(K953="",T954)=TRUE,"",INDEX(BC968:BE968,MATCH(K953,BC963:BE963,0)))</f>
        <v/>
      </c>
      <c r="S962" s="30"/>
      <c r="T962" s="489"/>
      <c r="U962" s="30"/>
      <c r="V962" s="509" t="s">
        <v>303</v>
      </c>
      <c r="W962" s="30"/>
      <c r="X962" s="30"/>
      <c r="Y962" s="494" t="s">
        <v>566</v>
      </c>
      <c r="Z962" s="494" t="s">
        <v>318</v>
      </c>
      <c r="AA962" s="30"/>
      <c r="AB962" s="30"/>
      <c r="AC962" s="505" t="s">
        <v>309</v>
      </c>
      <c r="AD962" s="30"/>
      <c r="AE962" s="30"/>
      <c r="AF962" s="492" t="s">
        <v>305</v>
      </c>
      <c r="AG962" s="492" t="s">
        <v>306</v>
      </c>
      <c r="AH962" s="494" t="s">
        <v>304</v>
      </c>
      <c r="AI962" s="504" t="s">
        <v>307</v>
      </c>
      <c r="AJ962" s="504" t="s">
        <v>567</v>
      </c>
      <c r="AK962" s="510" t="s">
        <v>311</v>
      </c>
      <c r="AL962" s="342"/>
      <c r="AM962" s="30"/>
      <c r="AN962" s="492" t="s">
        <v>305</v>
      </c>
      <c r="AO962" s="492" t="s">
        <v>306</v>
      </c>
      <c r="AP962" s="511" t="s">
        <v>310</v>
      </c>
      <c r="AQ962" s="504" t="s">
        <v>569</v>
      </c>
      <c r="AR962" s="504" t="s">
        <v>568</v>
      </c>
      <c r="AS962" s="510" t="s">
        <v>609</v>
      </c>
      <c r="AT962" s="510" t="s">
        <v>609</v>
      </c>
      <c r="AU962" s="30"/>
      <c r="AV962" s="492"/>
      <c r="AW962" s="492"/>
      <c r="AX962" s="492" t="s">
        <v>321</v>
      </c>
      <c r="AY962" s="492"/>
      <c r="AZ962" s="492"/>
      <c r="BA962" s="492"/>
      <c r="BB962" s="492"/>
      <c r="BC962" s="492"/>
      <c r="BD962" s="492"/>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3" t="s">
        <v>262</v>
      </c>
    </row>
    <row r="963" spans="1:78" s="142" customFormat="1" ht="12.75" hidden="1" customHeight="1" thickBot="1">
      <c r="A963" s="808"/>
      <c r="B963" s="166"/>
      <c r="C963" s="777" t="s">
        <v>196</v>
      </c>
      <c r="D963" s="512" t="str">
        <f>Translations!$B$622</f>
        <v>VD:</v>
      </c>
      <c r="E963" s="513"/>
      <c r="F963" s="402"/>
      <c r="G963" s="1532" t="str">
        <f>IF(OR(ISBLANK(F963),F963=EUconst_NoTier),"",IF(Z963=0,EUconst_NA,IF(ISERROR(Z963),"",Z963)))</f>
        <v/>
      </c>
      <c r="H963" s="1533"/>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0"/>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0"/>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0"/>
      <c r="AV963" s="492" t="s">
        <v>314</v>
      </c>
      <c r="AW963" s="492" t="s">
        <v>319</v>
      </c>
      <c r="AX963" s="524"/>
      <c r="AY963" s="30" t="s">
        <v>542</v>
      </c>
      <c r="AZ963" s="30"/>
      <c r="BA963" s="30"/>
      <c r="BB963" s="504"/>
      <c r="BC963" s="493" t="str">
        <f>EUconst_Fuel</f>
        <v>Degimas</v>
      </c>
      <c r="BD963" s="493" t="str">
        <f>EUconst_ProcessCarbonate</f>
        <v>Proceso metu išsiskiriančios ŠESD</v>
      </c>
      <c r="BE963" s="493"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4" t="b">
        <f>BZ958</f>
        <v>1</v>
      </c>
    </row>
    <row r="964" spans="1:78" s="142" customFormat="1" ht="5.0999999999999996" hidden="1" customHeight="1">
      <c r="A964" s="808"/>
      <c r="B964" s="166"/>
      <c r="C964" s="814"/>
      <c r="D964" s="306"/>
      <c r="F964" s="143"/>
      <c r="G964" s="143"/>
      <c r="H964" s="143" t="s">
        <v>236</v>
      </c>
      <c r="I964" s="525"/>
      <c r="J964" s="525"/>
      <c r="K964" s="143"/>
      <c r="L964" s="143"/>
      <c r="M964" s="710"/>
      <c r="O964" s="733"/>
      <c r="P964" s="33"/>
      <c r="Q964" s="33"/>
      <c r="R964" s="33"/>
      <c r="S964" s="30"/>
      <c r="T964" s="155"/>
      <c r="U964" s="497"/>
      <c r="V964" s="30"/>
      <c r="W964" s="30"/>
      <c r="X964" s="497"/>
      <c r="Y964" s="526"/>
      <c r="Z964" s="30"/>
      <c r="AA964" s="30"/>
      <c r="AB964" s="30"/>
      <c r="AC964" s="30"/>
      <c r="AD964" s="30"/>
      <c r="AE964" s="30"/>
      <c r="AF964" s="30"/>
      <c r="AG964" s="30"/>
      <c r="AH964" s="30"/>
      <c r="AI964" s="30"/>
      <c r="AJ964" s="30"/>
      <c r="AK964" s="30"/>
      <c r="AL964" s="342"/>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3"/>
    </row>
    <row r="965" spans="1:78" s="142" customFormat="1" ht="12.75" hidden="1" customHeight="1" thickBot="1">
      <c r="A965" s="808"/>
      <c r="B965" s="166"/>
      <c r="C965" s="814" t="s">
        <v>197</v>
      </c>
      <c r="D965" s="512" t="str">
        <f>Translations!$B$634</f>
        <v>(prelim.) ITF:</v>
      </c>
      <c r="E965" s="513"/>
      <c r="F965" s="527"/>
      <c r="G965" s="1532" t="str">
        <f t="shared" ref="G965:G971" si="231">IF(OR(ISBLANK(F965),F965=EUconst_NoTier),"",IF(Z965=0,EUconst_NotApplicable,IF(ISERROR(Z965),"",Z965)))</f>
        <v/>
      </c>
      <c r="H965" s="1556"/>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3"/>
      <c r="Q965" s="33"/>
      <c r="R965" s="33"/>
      <c r="S965" s="30"/>
      <c r="T965" s="530" t="str">
        <f>EUconst_CNTR_EF&amp;E954</f>
        <v>EF_</v>
      </c>
      <c r="U965" s="497"/>
      <c r="V965" s="531" t="str">
        <f>V963</f>
        <v/>
      </c>
      <c r="W965" s="30"/>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0"/>
      <c r="AC965" s="535" t="b">
        <f>AND(AC963,Y965&lt;&gt;EUconst_NA)</f>
        <v>0</v>
      </c>
      <c r="AD965" s="30"/>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0"/>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0"/>
      <c r="BA965" s="30"/>
      <c r="BB965" s="547" t="s">
        <v>594</v>
      </c>
      <c r="BC965" s="546" t="str">
        <f>IF(K953=BC963,AR963*IF(AJ965=EUconst_tCO2pTJ,(AR966/1000),1)*AR965*AR967*AR971,"")</f>
        <v/>
      </c>
      <c r="BD965" s="524" t="str">
        <f>IF(K953=BD963,AR963*AR965*AR968*AR971,"")</f>
        <v/>
      </c>
      <c r="BE965" s="523"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1" t="b">
        <f>OR(BZ963,Y965=EUconst_NA)</f>
        <v>1</v>
      </c>
    </row>
    <row r="966" spans="1:78" s="142" customFormat="1" ht="12.75" hidden="1" customHeight="1" thickBot="1">
      <c r="A966" s="808"/>
      <c r="B966" s="166"/>
      <c r="C966" s="814" t="s">
        <v>198</v>
      </c>
      <c r="D966" s="512" t="str">
        <f>Translations!$B$636</f>
        <v>GŠV:</v>
      </c>
      <c r="E966" s="513"/>
      <c r="F966" s="548"/>
      <c r="G966" s="1532" t="str">
        <f t="shared" si="231"/>
        <v/>
      </c>
      <c r="H966" s="1533"/>
      <c r="I966" s="1169" t="str">
        <f>AJ966</f>
        <v/>
      </c>
      <c r="J966" s="549"/>
      <c r="K966" s="550" t="str">
        <f t="shared" si="232"/>
        <v/>
      </c>
      <c r="L966" s="551"/>
      <c r="M966" s="709" t="str">
        <f>IF(AND(E954&lt;&gt;"",OR(F966="",COUNT(K966:L966)=0),Y966&lt;&gt;EUconst_NA,T954&lt;&gt;TRUE),EUconst_ERR_Incomplete,IF(COUNTIF(AX966:AZ966,TRUE)&gt;0,EUconst_ERR_Inconsistent,""))</f>
        <v/>
      </c>
      <c r="O966" s="733"/>
      <c r="P966" s="33"/>
      <c r="Q966" s="33"/>
      <c r="R966" s="33"/>
      <c r="S966" s="30"/>
      <c r="T966" s="552" t="str">
        <f>EUconst_CNTR_NCV&amp;E954</f>
        <v>NCV_</v>
      </c>
      <c r="U966" s="497"/>
      <c r="V966" s="553" t="str">
        <f t="shared" ref="V966:V971" si="237">V965</f>
        <v/>
      </c>
      <c r="W966" s="30"/>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0"/>
      <c r="AC966" s="557" t="b">
        <f>AND(AC963,Y966&lt;&gt;EUconst_NA)</f>
        <v>0</v>
      </c>
      <c r="AD966" s="30"/>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0"/>
      <c r="AV966" s="567" t="b">
        <f t="shared" si="234"/>
        <v>0</v>
      </c>
      <c r="AW966" s="568" t="b">
        <f t="shared" si="235"/>
        <v>0</v>
      </c>
      <c r="AX966" s="30"/>
      <c r="AY966" s="553" t="b">
        <f t="shared" si="236"/>
        <v>0</v>
      </c>
      <c r="AZ966" s="30"/>
      <c r="BA966" s="30"/>
      <c r="BB966" s="547" t="s">
        <v>595</v>
      </c>
      <c r="BC966" s="546" t="str">
        <f>IF(K953=BC963,AR963*IF(AJ965=EUconst_tCO2pTJ,(AR966/1000),1)*AR965*AR967*AR970,"")</f>
        <v/>
      </c>
      <c r="BD966" s="524" t="str">
        <f>IF(K953=BD963,AR963*AR965*AR968*AR970,"")</f>
        <v/>
      </c>
      <c r="BE966" s="523"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3" t="b">
        <f>OR(BZ963,Y966=EUconst_NA)</f>
        <v>1</v>
      </c>
    </row>
    <row r="967" spans="1:78" s="142" customFormat="1" ht="12.75" hidden="1" customHeight="1" thickBot="1">
      <c r="A967" s="808"/>
      <c r="B967" s="166"/>
      <c r="C967" s="814" t="s">
        <v>199</v>
      </c>
      <c r="D967" s="512" t="str">
        <f>Translations!$B$638</f>
        <v>OksK:</v>
      </c>
      <c r="E967" s="513"/>
      <c r="F967" s="548"/>
      <c r="G967" s="1532" t="str">
        <f t="shared" si="231"/>
        <v/>
      </c>
      <c r="H967" s="1533"/>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3"/>
      <c r="Q967" s="33"/>
      <c r="R967" s="33"/>
      <c r="S967" s="30"/>
      <c r="T967" s="552" t="str">
        <f>EUconst_CNTR_OxidationFactor&amp;E954</f>
        <v>OxF_</v>
      </c>
      <c r="U967" s="497"/>
      <c r="V967" s="553" t="str">
        <f t="shared" si="237"/>
        <v/>
      </c>
      <c r="W967" s="30"/>
      <c r="X967" s="497"/>
      <c r="Y967" s="554" t="str">
        <f>IF(OR(T954=TRUE,E954=""),"",INDEX(EUwideConstants!$N:$N,MATCH(T967,EUwideConstants!$Q:$Q,0)))</f>
        <v/>
      </c>
      <c r="Z967" s="555" t="str">
        <f>IF(ISBLANK(F967),"",IF(F967=EUconst_NA,"",INDEX(EUwideConstants!$H:$M,MATCH(T967,EUwideConstants!$Q:$Q,0),MATCH(F967,CNTR_TierList,0))))</f>
        <v/>
      </c>
      <c r="AA967" s="534" t="str">
        <f>IF(F967=1,1,"")</f>
        <v/>
      </c>
      <c r="AB967" s="30"/>
      <c r="AC967" s="557" t="b">
        <f>AND(AC963,Y967&lt;&gt;EUconst_NA)</f>
        <v>0</v>
      </c>
      <c r="AD967" s="30"/>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0"/>
      <c r="AV967" s="567" t="b">
        <f t="shared" si="234"/>
        <v>0</v>
      </c>
      <c r="AW967" s="568" t="b">
        <f t="shared" si="235"/>
        <v>0</v>
      </c>
      <c r="AX967" s="30"/>
      <c r="AY967" s="594" t="b">
        <f t="shared" si="236"/>
        <v>0</v>
      </c>
      <c r="AZ967" s="531" t="b">
        <f>AR967&gt;100%</f>
        <v>0</v>
      </c>
      <c r="BA967" s="30"/>
      <c r="BB967" s="547" t="s">
        <v>290</v>
      </c>
      <c r="BC967" s="546" t="str">
        <f>IF(K953=BC963,AR963*IF(AJ965=EUconst_tCO2pTJ,(AR966/1000),1)*AR965*AR967*(1-AR970),"")</f>
        <v/>
      </c>
      <c r="BD967" s="524" t="str">
        <f>IF(K953=BD963,AR963*AR965*AR968*(1-AR970),"")</f>
        <v/>
      </c>
      <c r="BE967" s="523"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3" t="b">
        <f>OR(BZ963,Y967=EUconst_NA)</f>
        <v>1</v>
      </c>
    </row>
    <row r="968" spans="1:78" s="142" customFormat="1" ht="12.75" hidden="1" customHeight="1" thickBot="1">
      <c r="A968" s="808"/>
      <c r="B968" s="166"/>
      <c r="C968" s="814" t="s">
        <v>200</v>
      </c>
      <c r="D968" s="512" t="str">
        <f>Translations!$B$639</f>
        <v>KonvK:</v>
      </c>
      <c r="E968" s="513"/>
      <c r="F968" s="548"/>
      <c r="G968" s="1532" t="str">
        <f t="shared" si="231"/>
        <v/>
      </c>
      <c r="H968" s="1533"/>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3"/>
      <c r="Q968" s="33"/>
      <c r="R968" s="33"/>
      <c r="S968" s="30"/>
      <c r="T968" s="552" t="str">
        <f>EUconst_CNTR_ConversionFactor&amp;E954</f>
        <v>ConvF_</v>
      </c>
      <c r="U968" s="497"/>
      <c r="V968" s="553" t="str">
        <f t="shared" si="237"/>
        <v/>
      </c>
      <c r="W968" s="30"/>
      <c r="X968" s="497"/>
      <c r="Y968" s="554" t="str">
        <f>IF(OR(T954=TRUE,E954=""),"",INDEX(EUwideConstants!$N:$N,MATCH(T968,EUwideConstants!$Q:$Q,0)))</f>
        <v/>
      </c>
      <c r="Z968" s="555" t="str">
        <f>IF(ISBLANK(F968),"",IF(F968=EUconst_NA,"",INDEX(EUwideConstants!$H:$M,MATCH(T968,EUwideConstants!$Q:$Q,0),MATCH(F968,CNTR_TierList,0))))</f>
        <v/>
      </c>
      <c r="AA968" s="582" t="str">
        <f>IF(F968=1,1,"")</f>
        <v/>
      </c>
      <c r="AB968" s="30"/>
      <c r="AC968" s="557" t="b">
        <f>AND(AC963,Y968&lt;&gt;EUconst_NA)</f>
        <v>0</v>
      </c>
      <c r="AD968" s="30"/>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0"/>
      <c r="AV968" s="567" t="b">
        <f t="shared" si="234"/>
        <v>0</v>
      </c>
      <c r="AW968" s="568" t="b">
        <f t="shared" si="235"/>
        <v>0</v>
      </c>
      <c r="AX968" s="30"/>
      <c r="AY968" s="594" t="b">
        <f t="shared" si="236"/>
        <v>0</v>
      </c>
      <c r="AZ968" s="580" t="b">
        <f>AR968&gt;100%</f>
        <v>0</v>
      </c>
      <c r="BA968" s="30"/>
      <c r="BB968" s="578" t="s">
        <v>487</v>
      </c>
      <c r="BC968" s="579">
        <f>AR963*AR966/1000*(1-AR970)</f>
        <v>0</v>
      </c>
      <c r="BD968" s="580">
        <f>BC968</f>
        <v>0</v>
      </c>
      <c r="BE968" s="581">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3" t="b">
        <f>OR(BZ963,Y968=EUconst_NA)</f>
        <v>1</v>
      </c>
    </row>
    <row r="969" spans="1:78" s="142" customFormat="1" ht="12.75" hidden="1" customHeight="1" thickBot="1">
      <c r="A969" s="808"/>
      <c r="B969" s="166"/>
      <c r="C969" s="814" t="s">
        <v>329</v>
      </c>
      <c r="D969" s="512" t="str">
        <f>Translations!$B$640</f>
        <v>AnglK:</v>
      </c>
      <c r="E969" s="513"/>
      <c r="F969" s="548"/>
      <c r="G969" s="1532" t="str">
        <f t="shared" si="231"/>
        <v/>
      </c>
      <c r="H969" s="1533"/>
      <c r="I969" s="1170" t="str">
        <f>AJ969</f>
        <v/>
      </c>
      <c r="J969" s="586"/>
      <c r="K969" s="587" t="str">
        <f t="shared" si="232"/>
        <v/>
      </c>
      <c r="L969" s="588"/>
      <c r="M969" s="709" t="str">
        <f>IF(AND(E954&lt;&gt;"",OR(F969="",COUNT(K969:L969)=0),Y969&lt;&gt;EUconst_NA,T954&lt;&gt;TRUE),EUconst_ERR_Incomplete,IF(COUNTIF(AX969:AZ969,TRUE)&gt;0,EUconst_ERR_Inconsistent,""))</f>
        <v/>
      </c>
      <c r="O969" s="733"/>
      <c r="P969" s="33"/>
      <c r="Q969" s="33"/>
      <c r="R969" s="33"/>
      <c r="S969" s="30"/>
      <c r="T969" s="552" t="str">
        <f>EUconst_CNTR_CarbonContent&amp;E954</f>
        <v>CarbC_</v>
      </c>
      <c r="U969" s="497"/>
      <c r="V969" s="553" t="str">
        <f t="shared" si="237"/>
        <v/>
      </c>
      <c r="W969" s="30"/>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0"/>
      <c r="AC969" s="557" t="b">
        <f>AND(AC963,Y969&lt;&gt;EUconst_NA)</f>
        <v>0</v>
      </c>
      <c r="AD969" s="30"/>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0"/>
      <c r="AV969" s="567" t="b">
        <f t="shared" si="234"/>
        <v>0</v>
      </c>
      <c r="AW969" s="568" t="b">
        <f t="shared" si="235"/>
        <v>0</v>
      </c>
      <c r="AX969" s="546" t="b">
        <f>OR(AND(AJ963=EUconst_kNm3,AJ969=EUconst_tCpt),AND(AJ963=EUconst_t,AJ969=EUconst_tCpkNm3))</f>
        <v>0</v>
      </c>
      <c r="AY969" s="553" t="b">
        <f t="shared" si="236"/>
        <v>0</v>
      </c>
      <c r="AZ969" s="30"/>
      <c r="BA969" s="30"/>
      <c r="BB969" s="578" t="s">
        <v>488</v>
      </c>
      <c r="BC969" s="579">
        <f>AR963*AR966/1000*AR970</f>
        <v>0</v>
      </c>
      <c r="BD969" s="580">
        <f>BC969</f>
        <v>0</v>
      </c>
      <c r="BE969" s="581">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3" t="b">
        <f>OR(BZ963,Y969=EUconst_NA)</f>
        <v>1</v>
      </c>
    </row>
    <row r="970" spans="1:78" s="142" customFormat="1" ht="12.75" hidden="1" customHeight="1">
      <c r="A970" s="808"/>
      <c r="B970" s="166"/>
      <c r="C970" s="777" t="s">
        <v>330</v>
      </c>
      <c r="D970" s="512" t="str">
        <f>Translations!$B$641</f>
        <v>BioC:</v>
      </c>
      <c r="E970" s="513"/>
      <c r="F970" s="548"/>
      <c r="G970" s="1532" t="str">
        <f t="shared" si="231"/>
        <v/>
      </c>
      <c r="H970" s="1533"/>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0"/>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0"/>
      <c r="AC970" s="557" t="b">
        <f>AND(AC963,Y970&lt;&gt;EUconst_NA)</f>
        <v>0</v>
      </c>
      <c r="AD970" s="30"/>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0"/>
      <c r="AV970" s="567" t="b">
        <f t="shared" si="234"/>
        <v>0</v>
      </c>
      <c r="AW970" s="568" t="b">
        <f t="shared" si="235"/>
        <v>0</v>
      </c>
      <c r="AX970" s="30"/>
      <c r="AY970" s="594" t="b">
        <f t="shared" si="236"/>
        <v>0</v>
      </c>
      <c r="AZ970" s="531"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3" t="b">
        <f>OR(BZ963,Y970=EUconst_NA)</f>
        <v>1</v>
      </c>
    </row>
    <row r="971" spans="1:78" s="142" customFormat="1" ht="12.75" hidden="1" customHeight="1" thickBot="1">
      <c r="A971" s="808"/>
      <c r="B971" s="166"/>
      <c r="C971" s="777" t="s">
        <v>454</v>
      </c>
      <c r="D971" s="512" t="str">
        <f>Translations!$B$647</f>
        <v>Netvar. BioC:</v>
      </c>
      <c r="E971" s="513"/>
      <c r="F971" s="597"/>
      <c r="G971" s="1532" t="str">
        <f t="shared" si="231"/>
        <v/>
      </c>
      <c r="H971" s="1533"/>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0"/>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0"/>
      <c r="AC971" s="603" t="b">
        <f>AND(AC963,Y971&lt;&gt;EUconst_NA)</f>
        <v>0</v>
      </c>
      <c r="AD971" s="30"/>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0"/>
      <c r="AV971" s="613" t="b">
        <f t="shared" si="234"/>
        <v>0</v>
      </c>
      <c r="AW971" s="614" t="b">
        <f t="shared" si="235"/>
        <v>0</v>
      </c>
      <c r="AX971" s="30"/>
      <c r="AY971" s="579" t="b">
        <f t="shared" si="236"/>
        <v>0</v>
      </c>
      <c r="AZ971" s="580"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80" t="b">
        <f>OR(BZ963,Y971=EUconst_NA)</f>
        <v>1</v>
      </c>
    </row>
    <row r="972" spans="1:78" s="142" customFormat="1" ht="4.5" hidden="1" customHeight="1">
      <c r="A972" s="808"/>
      <c r="B972" s="166"/>
      <c r="C972" s="166"/>
      <c r="D972" s="180"/>
      <c r="O972" s="733"/>
      <c r="P972" s="33"/>
      <c r="Q972" s="33"/>
      <c r="R972" s="33"/>
      <c r="S972" s="174"/>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6" hidden="1" customHeight="1">
      <c r="A973" s="808"/>
      <c r="B973" s="166"/>
      <c r="C973" s="166"/>
      <c r="D973" s="1558" t="str">
        <f>Translations!$B$674</f>
        <v>Pakopos galioja nuo:</v>
      </c>
      <c r="E973" s="1558"/>
      <c r="F973" s="1559"/>
      <c r="G973" s="1052"/>
      <c r="H973" s="615" t="str">
        <f>Translations!$B$675</f>
        <v>iki:</v>
      </c>
      <c r="I973" s="1052"/>
      <c r="J973" s="1536" t="str">
        <f>Translations!$B$676</f>
        <v>Atliekų katalogo numeris (jeigu taikytina):</v>
      </c>
      <c r="K973" s="1537"/>
      <c r="L973" s="1537"/>
      <c r="M973" s="1538"/>
      <c r="N973" s="1289"/>
      <c r="O973" s="733"/>
      <c r="P973" s="33"/>
      <c r="Q973" s="33"/>
      <c r="R973" s="33"/>
      <c r="S973" s="1290"/>
      <c r="T973" s="492"/>
      <c r="U973" s="492"/>
      <c r="V973" s="48" t="b">
        <f>IF(V963="",FALSE,INDEX(CNTR_IsWaste,MATCH(V963,MSParameters!$A$218:$A$376,0)))</f>
        <v>0</v>
      </c>
      <c r="W973" s="1290"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4.5" hidden="1" customHeight="1">
      <c r="A974" s="808"/>
      <c r="B974" s="166"/>
      <c r="C974" s="166"/>
      <c r="D974" s="615"/>
      <c r="E974" s="495"/>
      <c r="F974" s="495"/>
      <c r="G974" s="495"/>
      <c r="H974" s="495"/>
      <c r="I974" s="495"/>
      <c r="J974" s="495"/>
      <c r="K974" s="495"/>
      <c r="L974" s="495"/>
      <c r="M974" s="495"/>
      <c r="N974" s="495"/>
      <c r="O974" s="733"/>
      <c r="P974" s="33"/>
      <c r="Q974" s="33"/>
      <c r="R974" s="33"/>
      <c r="S974" s="174"/>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hidden="1" customHeight="1">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3"/>
      <c r="Q975" s="33"/>
      <c r="R975" s="33"/>
      <c r="S975" s="174"/>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hidden="1" customHeight="1">
      <c r="A976" s="815"/>
      <c r="D976" s="180"/>
      <c r="O976" s="573"/>
      <c r="P976" s="497"/>
      <c r="Q976" s="497"/>
      <c r="R976" s="497"/>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hidden="1">
      <c r="A977" s="815"/>
      <c r="D977" s="1534" t="str">
        <f>Translations!$B$160</f>
        <v>Pastabos:</v>
      </c>
      <c r="E977" s="1535"/>
      <c r="F977" s="1539"/>
      <c r="G977" s="1540"/>
      <c r="H977" s="1540"/>
      <c r="I977" s="1540"/>
      <c r="J977" s="1540"/>
      <c r="K977" s="1540"/>
      <c r="L977" s="1540"/>
      <c r="M977" s="1540"/>
      <c r="N977" s="1541"/>
      <c r="O977" s="573"/>
      <c r="P977" s="497"/>
      <c r="Q977" s="497"/>
      <c r="R977" s="497"/>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c r="A978" s="808"/>
      <c r="B978" s="495"/>
      <c r="C978" s="499"/>
      <c r="D978" s="500"/>
      <c r="E978" s="501"/>
      <c r="F978" s="499"/>
      <c r="G978" s="502"/>
      <c r="H978" s="502"/>
      <c r="I978" s="502"/>
      <c r="J978" s="502"/>
      <c r="K978" s="502"/>
      <c r="L978" s="502"/>
      <c r="M978" s="502"/>
      <c r="N978" s="502"/>
      <c r="O978" s="740"/>
      <c r="P978" s="494"/>
      <c r="Q978" s="494"/>
      <c r="R978" s="494"/>
      <c r="S978" s="58"/>
      <c r="T978" s="58"/>
      <c r="U978" s="498"/>
      <c r="V978" s="58"/>
      <c r="W978" s="58"/>
      <c r="X978" s="49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c r="A979" s="813"/>
      <c r="B979" s="495"/>
      <c r="C979" s="495"/>
      <c r="D979" s="180"/>
      <c r="E979" s="496"/>
      <c r="F979" s="495"/>
      <c r="G979" s="487"/>
      <c r="H979" s="487"/>
      <c r="I979" s="487"/>
      <c r="J979" s="487"/>
      <c r="K979" s="495"/>
      <c r="L979" s="487"/>
      <c r="M979" s="487"/>
      <c r="N979" s="487"/>
      <c r="O979" s="740"/>
      <c r="P979" s="494"/>
      <c r="Q979" s="494"/>
      <c r="R979" s="494"/>
      <c r="S979" s="23"/>
      <c r="T979" s="27" t="str">
        <f>IF(ISBLANK(E980),"",MATCH(E980,CNTR_SourceStreamNames,0))</f>
        <v/>
      </c>
      <c r="U979" s="618"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1"/>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3" t="s">
        <v>262</v>
      </c>
    </row>
    <row r="980" spans="1:78" s="142" customFormat="1" ht="15" hidden="1" customHeight="1" thickBot="1">
      <c r="A980" s="869" t="str">
        <f>IF(E980="","","PRINT")</f>
        <v/>
      </c>
      <c r="B980" s="166"/>
      <c r="C980" s="617">
        <f>C953+1</f>
        <v>35</v>
      </c>
      <c r="D980" s="166"/>
      <c r="E980" s="1542"/>
      <c r="F980" s="1543"/>
      <c r="G980" s="1543"/>
      <c r="H980" s="1543"/>
      <c r="I980" s="1543"/>
      <c r="J980" s="1544"/>
      <c r="K980" s="1545" t="str">
        <f>IF(E981="","",INDEX(EUwideConstants!$F$353:$F$394,MATCH(E981,EUConst_TierActivityListNames,0)))</f>
        <v/>
      </c>
      <c r="L980" s="1546"/>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3"/>
      <c r="T980" s="509" t="s">
        <v>393</v>
      </c>
      <c r="U980" s="23"/>
      <c r="V980" s="78"/>
      <c r="W980" s="56"/>
      <c r="X980" s="58"/>
      <c r="Y980" s="58"/>
      <c r="Z980" s="58"/>
      <c r="AA980" s="58"/>
      <c r="AB980" s="58"/>
      <c r="AC980" s="58"/>
      <c r="AD980" s="58"/>
      <c r="AE980" s="58"/>
      <c r="AF980" s="58"/>
      <c r="AG980" s="58"/>
      <c r="AH980" s="58"/>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6"/>
      <c r="BZ980" s="619" t="b">
        <f>CNTR_CalcRelevant=EUconst_NotRelevant</f>
        <v>0</v>
      </c>
    </row>
    <row r="981" spans="1:78" s="142" customFormat="1" ht="15" hidden="1" customHeight="1" thickBot="1">
      <c r="A981" s="808"/>
      <c r="B981" s="166"/>
      <c r="C981" s="166"/>
      <c r="D981" s="166"/>
      <c r="E981" s="1547" t="str">
        <f>IF(ISBLANK(E980),"",IF(INDEX(B_InstallationDescription!$E$71:$E$145,MATCH(U979,B_InstallationDescription!$D$71:$D$145,0))&gt;0,INDEX(B_InstallationDescription!$E$71:$E$145,MATCH(U979,B_InstallationDescription!$D$71:$D$145,0)),""))</f>
        <v/>
      </c>
      <c r="F981" s="1548"/>
      <c r="G981" s="1548"/>
      <c r="H981" s="1548"/>
      <c r="I981" s="1548"/>
      <c r="J981" s="1549"/>
      <c r="M981" s="346" t="str">
        <f>Translations!$B$666</f>
        <v>CO2, biomasės kilmės.:</v>
      </c>
      <c r="N981" s="1051" t="str">
        <f>IF(OR(K980="",T981=TRUE),"",INDEX(BC993:BE993,MATCH(K980,BC990:BE990,0)))</f>
        <v/>
      </c>
      <c r="O981" s="742" t="s">
        <v>260</v>
      </c>
      <c r="P981" s="494"/>
      <c r="Q981" s="352" t="str">
        <f>EUconst_SumBioCO2 &amp; "_" &amp; K980</f>
        <v>SUM_bioCO2_</v>
      </c>
      <c r="R981" s="494"/>
      <c r="S981" s="23"/>
      <c r="T981" s="48" t="str">
        <f>IF(E981="","",MATCH(E981,EUConst_TierActivityListNames,0)&gt;40)</f>
        <v/>
      </c>
      <c r="U981" s="23"/>
      <c r="V981" s="78"/>
      <c r="W981" s="56"/>
      <c r="X981" s="58"/>
      <c r="Y981" s="27" t="s">
        <v>93</v>
      </c>
      <c r="Z981" s="30"/>
      <c r="AA981" s="30"/>
      <c r="AB981" s="30"/>
      <c r="AC981" s="30"/>
      <c r="AD981" s="30"/>
      <c r="AE981" s="27" t="s">
        <v>302</v>
      </c>
      <c r="AF981" s="58"/>
      <c r="AG981" s="504"/>
      <c r="AH981" s="30"/>
      <c r="AI981" s="30"/>
      <c r="AJ981" s="504"/>
      <c r="AK981" s="504"/>
      <c r="AL981" s="342"/>
      <c r="AM981" s="27" t="s">
        <v>308</v>
      </c>
      <c r="AN981" s="505"/>
      <c r="AO981" s="505"/>
      <c r="AP981" s="30"/>
      <c r="AQ981" s="30"/>
      <c r="AR981" s="30"/>
      <c r="AS981" s="30"/>
      <c r="AT981" s="30"/>
      <c r="AU981" s="30"/>
      <c r="AV981" s="27" t="s">
        <v>315</v>
      </c>
      <c r="AW981" s="30"/>
      <c r="AX981" s="492"/>
      <c r="AY981" s="30"/>
      <c r="AZ981" s="30"/>
      <c r="BA981" s="30"/>
      <c r="BB981" s="27" t="s">
        <v>219</v>
      </c>
      <c r="BC981" s="30"/>
      <c r="BD981" s="30"/>
      <c r="BE981" s="30"/>
      <c r="BF981" s="30"/>
      <c r="BG981" s="27"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0"/>
      <c r="BZ981" s="30"/>
    </row>
    <row r="982" spans="1:78" s="142" customFormat="1" ht="5.0999999999999996" hidden="1" customHeight="1">
      <c r="A982" s="808"/>
      <c r="B982" s="166"/>
      <c r="C982" s="166"/>
      <c r="D982" s="166"/>
      <c r="E982" s="166"/>
      <c r="F982" s="166"/>
      <c r="G982" s="166"/>
      <c r="M982" s="143"/>
      <c r="N982" s="143"/>
      <c r="O982" s="733"/>
      <c r="P982" s="33"/>
      <c r="Q982" s="33"/>
      <c r="R982" s="33"/>
      <c r="S982" s="23"/>
      <c r="T982" s="23"/>
      <c r="U982" s="23"/>
      <c r="V982" s="78"/>
      <c r="W982" s="30"/>
      <c r="X982" s="30"/>
      <c r="Y982" s="494"/>
      <c r="Z982" s="30"/>
      <c r="AA982" s="30"/>
      <c r="AB982" s="30"/>
      <c r="AC982" s="30"/>
      <c r="AD982" s="30"/>
      <c r="AE982" s="30"/>
      <c r="AF982" s="58"/>
      <c r="AG982" s="30"/>
      <c r="AH982" s="30"/>
      <c r="AI982" s="30"/>
      <c r="AJ982" s="504"/>
      <c r="AK982" s="504"/>
      <c r="AL982" s="342"/>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hidden="1" customHeight="1" thickBot="1">
      <c r="A983" s="808"/>
      <c r="B983" s="166"/>
      <c r="C983" s="166"/>
      <c r="D983" s="166"/>
      <c r="E983" s="1550" t="str">
        <f>IF(E980="","",IF(T981=TRUE,HYPERLINK("#JUMP_14",EUconst_MsgGoOnPFC),HYPERLINK("#JUMP_E_8",EUconst_FurtherGuidancePoint1)))</f>
        <v/>
      </c>
      <c r="F983" s="1550"/>
      <c r="G983" s="1550"/>
      <c r="H983" s="1550"/>
      <c r="I983" s="1550"/>
      <c r="J983" s="1550"/>
      <c r="K983" s="1550"/>
      <c r="L983" s="1550"/>
      <c r="M983" s="1550"/>
      <c r="N983" s="143"/>
      <c r="O983" s="733"/>
      <c r="P983" s="33"/>
      <c r="Q983" s="352" t="str">
        <f>EUconst_SumNonSustBioCO2 &amp; "_" &amp; K980</f>
        <v>SUM_bioNonSustCO2_</v>
      </c>
      <c r="R983" s="707"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4"/>
      <c r="AK983" s="504"/>
      <c r="AL983" s="342"/>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hidden="1" customHeight="1">
      <c r="A984" s="808"/>
      <c r="B984" s="166"/>
      <c r="C984" s="166"/>
      <c r="D984" s="166"/>
      <c r="E984" s="166"/>
      <c r="F984" s="166"/>
      <c r="G984" s="166"/>
      <c r="M984" s="143"/>
      <c r="N984" s="143"/>
      <c r="O984" s="733"/>
      <c r="P984" s="23"/>
      <c r="Q984" s="23"/>
      <c r="R984" s="23"/>
      <c r="S984" s="23"/>
      <c r="T984" s="23"/>
      <c r="U984" s="23"/>
      <c r="V984" s="30"/>
      <c r="W984" s="30"/>
      <c r="X984" s="30"/>
      <c r="Y984" s="494"/>
      <c r="Z984" s="30"/>
      <c r="AA984" s="30"/>
      <c r="AB984" s="30"/>
      <c r="AC984" s="30"/>
      <c r="AD984" s="30"/>
      <c r="AE984" s="30"/>
      <c r="AF984" s="58"/>
      <c r="AG984" s="30"/>
      <c r="AH984" s="30"/>
      <c r="AI984" s="30"/>
      <c r="AJ984" s="504"/>
      <c r="AK984" s="504"/>
      <c r="AL984" s="342"/>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hidden="1" customHeight="1" thickBot="1">
      <c r="A985" s="808"/>
      <c r="B985" s="166"/>
      <c r="C985" s="814" t="s">
        <v>4</v>
      </c>
      <c r="D985" s="512" t="str">
        <f>Translations!$B$622</f>
        <v>VD:</v>
      </c>
      <c r="E985" s="1560" t="str">
        <f>Translations!$B$667</f>
        <v>Ar veiklos duomenys gaunami sudedant išmatuotus kiekius (t. y. ne atliekant nuolatinius matavimus)?</v>
      </c>
      <c r="F985" s="1560"/>
      <c r="G985" s="1560"/>
      <c r="H985" s="1560"/>
      <c r="I985" s="1560"/>
      <c r="J985" s="1560"/>
      <c r="K985" s="1560"/>
      <c r="L985" s="1179"/>
      <c r="M985" s="507"/>
      <c r="O985" s="733"/>
      <c r="P985" s="23"/>
      <c r="Q985" s="23"/>
      <c r="R985" s="23"/>
      <c r="S985" s="23"/>
      <c r="T985" s="23"/>
      <c r="U985" s="23"/>
      <c r="V985" s="30"/>
      <c r="W985" s="30"/>
      <c r="X985" s="30"/>
      <c r="Y985" s="494"/>
      <c r="Z985" s="30"/>
      <c r="AA985" s="30"/>
      <c r="AB985" s="30"/>
      <c r="AC985" s="1172" t="b">
        <f>AND(E980&lt;&gt;"",T981&lt;&gt;TRUE)</f>
        <v>0</v>
      </c>
      <c r="AD985" s="30"/>
      <c r="AE985" s="30"/>
      <c r="AF985" s="58"/>
      <c r="AG985" s="30"/>
      <c r="AH985" s="30"/>
      <c r="AI985" s="30"/>
      <c r="AJ985" s="504"/>
      <c r="AK985" s="504"/>
      <c r="AL985" s="342"/>
      <c r="AM985" s="30"/>
      <c r="AN985" s="30"/>
      <c r="AO985" s="30"/>
      <c r="AP985" s="30"/>
      <c r="AQ985" s="30"/>
      <c r="AR985" s="30"/>
      <c r="AS985" s="30"/>
      <c r="AT985" s="1172"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2" t="b">
        <f>OR(CNTR_CalcRelevant=EUconst_NotRelevant,AND(COUNTA(CNTR_ListRelevantSections)&gt;0,OR(T981=TRUE,E980="")))</f>
        <v>1</v>
      </c>
    </row>
    <row r="986" spans="1:78" s="142" customFormat="1" ht="5.0999999999999996" hidden="1" customHeight="1">
      <c r="A986" s="808"/>
      <c r="B986" s="166"/>
      <c r="C986" s="166"/>
      <c r="D986" s="166"/>
      <c r="E986" s="166"/>
      <c r="F986" s="166"/>
      <c r="G986" s="166"/>
      <c r="H986" s="495"/>
      <c r="I986" s="495"/>
      <c r="J986" s="495"/>
      <c r="K986" s="495"/>
      <c r="L986" s="495"/>
      <c r="M986" s="507"/>
      <c r="O986" s="733"/>
      <c r="P986" s="23"/>
      <c r="Q986" s="23"/>
      <c r="R986" s="23"/>
      <c r="S986" s="23"/>
      <c r="T986" s="23"/>
      <c r="U986" s="23"/>
      <c r="V986" s="30"/>
      <c r="W986" s="30"/>
      <c r="X986" s="30"/>
      <c r="Y986" s="494"/>
      <c r="Z986" s="30"/>
      <c r="AA986" s="30"/>
      <c r="AB986" s="30"/>
      <c r="AC986" s="492"/>
      <c r="AD986" s="30"/>
      <c r="AE986" s="30"/>
      <c r="AF986" s="58"/>
      <c r="AG986" s="30"/>
      <c r="AH986" s="30"/>
      <c r="AI986" s="30"/>
      <c r="AJ986" s="504"/>
      <c r="AK986" s="504"/>
      <c r="AL986" s="342"/>
      <c r="AM986" s="30"/>
      <c r="AN986" s="30"/>
      <c r="AO986" s="30"/>
      <c r="AP986" s="30"/>
      <c r="AQ986" s="30"/>
      <c r="AR986" s="30"/>
      <c r="AS986" s="30"/>
      <c r="AT986" s="492"/>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2"/>
    </row>
    <row r="987" spans="1:78" s="142" customFormat="1" ht="12.75" hidden="1" customHeight="1" thickBot="1">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3"/>
      <c r="Q987" s="23"/>
      <c r="R987" s="23"/>
      <c r="S987" s="23"/>
      <c r="T987" s="23"/>
      <c r="U987" s="23"/>
      <c r="V987" s="30"/>
      <c r="W987" s="30"/>
      <c r="X987" s="30"/>
      <c r="Y987" s="494"/>
      <c r="Z987" s="30"/>
      <c r="AA987" s="30"/>
      <c r="AB987" s="30"/>
      <c r="AC987" s="1172" t="b">
        <f>AC985</f>
        <v>0</v>
      </c>
      <c r="AD987" s="30"/>
      <c r="AE987" s="30"/>
      <c r="AF987" s="58"/>
      <c r="AG987" s="30"/>
      <c r="AH987" s="30"/>
      <c r="AI987" s="30"/>
      <c r="AJ987" s="504"/>
      <c r="AK987" s="504"/>
      <c r="AL987" s="342"/>
      <c r="AM987" s="30"/>
      <c r="AN987" s="30"/>
      <c r="AO987" s="30"/>
      <c r="AP987" s="30"/>
      <c r="AQ987" s="30"/>
      <c r="AR987" s="30"/>
      <c r="AS987" s="30"/>
      <c r="AT987" s="1172"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2" t="b">
        <f>OR(BZ985,AND(NOT(ISBLANK(L985)),L985=FALSE))</f>
        <v>1</v>
      </c>
    </row>
    <row r="988" spans="1:78" s="142" customFormat="1" ht="5.0999999999999996" hidden="1" customHeight="1">
      <c r="A988" s="808"/>
      <c r="B988" s="166"/>
      <c r="C988" s="166"/>
      <c r="D988" s="166"/>
      <c r="E988" s="166"/>
      <c r="F988" s="166"/>
      <c r="G988" s="166"/>
      <c r="M988" s="143"/>
      <c r="N988" s="143"/>
      <c r="O988" s="733"/>
      <c r="P988" s="23"/>
      <c r="Q988" s="23"/>
      <c r="R988" s="23"/>
      <c r="S988" s="23"/>
      <c r="T988" s="23"/>
      <c r="U988" s="23"/>
      <c r="V988" s="30"/>
      <c r="W988" s="30"/>
      <c r="X988" s="30"/>
      <c r="Y988" s="494"/>
      <c r="Z988" s="30"/>
      <c r="AA988" s="30"/>
      <c r="AB988" s="30"/>
      <c r="AC988" s="30"/>
      <c r="AD988" s="30"/>
      <c r="AE988" s="30"/>
      <c r="AF988" s="58"/>
      <c r="AG988" s="30"/>
      <c r="AH988" s="30"/>
      <c r="AI988" s="30"/>
      <c r="AJ988" s="504"/>
      <c r="AK988" s="504"/>
      <c r="AL988" s="342"/>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hidden="1" customHeight="1" thickBot="1">
      <c r="A989" s="808"/>
      <c r="B989" s="166"/>
      <c r="C989" s="166"/>
      <c r="D989" s="166"/>
      <c r="E989" s="166"/>
      <c r="F989" s="506" t="str">
        <f>Translations!$B$333</f>
        <v>Pakopa</v>
      </c>
      <c r="G989" s="1557" t="str">
        <f>Translations!$B$672</f>
        <v>pakopos aprašas</v>
      </c>
      <c r="H989" s="1557"/>
      <c r="I989" s="1555" t="str">
        <f>Translations!$B$158</f>
        <v>Vienetas</v>
      </c>
      <c r="J989" s="1555"/>
      <c r="K989" s="1555" t="str">
        <f>Translations!$B$673</f>
        <v>Vertė</v>
      </c>
      <c r="L989" s="1555"/>
      <c r="M989" s="507" t="str">
        <f>Translations!$B$610</f>
        <v>klaida</v>
      </c>
      <c r="O989" s="733"/>
      <c r="P989" s="508"/>
      <c r="Q989" s="352" t="str">
        <f>EUconst_SumEnergyIN &amp; "_" &amp; K980</f>
        <v>SUM_EnergyIN_</v>
      </c>
      <c r="R989" s="399" t="str">
        <f>IF(OR(K980="",T981)=TRUE,"",INDEX(BC995:BE995,MATCH(K980,BC990:BE990,0)))</f>
        <v/>
      </c>
      <c r="S989" s="30"/>
      <c r="T989" s="489"/>
      <c r="U989" s="30"/>
      <c r="V989" s="509" t="s">
        <v>303</v>
      </c>
      <c r="W989" s="30"/>
      <c r="X989" s="30"/>
      <c r="Y989" s="494" t="s">
        <v>566</v>
      </c>
      <c r="Z989" s="494" t="s">
        <v>318</v>
      </c>
      <c r="AA989" s="30"/>
      <c r="AB989" s="30"/>
      <c r="AC989" s="505" t="s">
        <v>309</v>
      </c>
      <c r="AD989" s="30"/>
      <c r="AE989" s="30"/>
      <c r="AF989" s="492" t="s">
        <v>305</v>
      </c>
      <c r="AG989" s="492" t="s">
        <v>306</v>
      </c>
      <c r="AH989" s="494" t="s">
        <v>304</v>
      </c>
      <c r="AI989" s="504" t="s">
        <v>307</v>
      </c>
      <c r="AJ989" s="504" t="s">
        <v>567</v>
      </c>
      <c r="AK989" s="510" t="s">
        <v>311</v>
      </c>
      <c r="AL989" s="342"/>
      <c r="AM989" s="30"/>
      <c r="AN989" s="492" t="s">
        <v>305</v>
      </c>
      <c r="AO989" s="492" t="s">
        <v>306</v>
      </c>
      <c r="AP989" s="511" t="s">
        <v>310</v>
      </c>
      <c r="AQ989" s="504" t="s">
        <v>569</v>
      </c>
      <c r="AR989" s="504" t="s">
        <v>568</v>
      </c>
      <c r="AS989" s="510" t="s">
        <v>609</v>
      </c>
      <c r="AT989" s="510" t="s">
        <v>609</v>
      </c>
      <c r="AU989" s="30"/>
      <c r="AV989" s="492"/>
      <c r="AW989" s="492"/>
      <c r="AX989" s="492" t="s">
        <v>321</v>
      </c>
      <c r="AY989" s="492"/>
      <c r="AZ989" s="492"/>
      <c r="BA989" s="492"/>
      <c r="BB989" s="492"/>
      <c r="BC989" s="492"/>
      <c r="BD989" s="492"/>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3" t="s">
        <v>262</v>
      </c>
    </row>
    <row r="990" spans="1:78" s="142" customFormat="1" ht="12.75" hidden="1" customHeight="1" thickBot="1">
      <c r="A990" s="808"/>
      <c r="B990" s="166"/>
      <c r="C990" s="777" t="s">
        <v>196</v>
      </c>
      <c r="D990" s="512" t="str">
        <f>Translations!$B$622</f>
        <v>VD:</v>
      </c>
      <c r="E990" s="513"/>
      <c r="F990" s="402"/>
      <c r="G990" s="1532" t="str">
        <f>IF(OR(ISBLANK(F990),F990=EUconst_NoTier),"",IF(Z990=0,EUconst_NA,IF(ISERROR(Z990),"",Z990)))</f>
        <v/>
      </c>
      <c r="H990" s="1533"/>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0"/>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0"/>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0"/>
      <c r="AV990" s="492" t="s">
        <v>314</v>
      </c>
      <c r="AW990" s="492" t="s">
        <v>319</v>
      </c>
      <c r="AX990" s="524"/>
      <c r="AY990" s="30" t="s">
        <v>542</v>
      </c>
      <c r="AZ990" s="30"/>
      <c r="BA990" s="30"/>
      <c r="BB990" s="504"/>
      <c r="BC990" s="493" t="str">
        <f>EUconst_Fuel</f>
        <v>Degimas</v>
      </c>
      <c r="BD990" s="493" t="str">
        <f>EUconst_ProcessCarbonate</f>
        <v>Proceso metu išsiskiriančios ŠESD</v>
      </c>
      <c r="BE990" s="493"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4" t="b">
        <f>BZ985</f>
        <v>1</v>
      </c>
    </row>
    <row r="991" spans="1:78" s="142" customFormat="1" ht="5.0999999999999996" hidden="1" customHeight="1">
      <c r="A991" s="808"/>
      <c r="B991" s="166"/>
      <c r="C991" s="814"/>
      <c r="D991" s="306"/>
      <c r="F991" s="143"/>
      <c r="G991" s="143"/>
      <c r="H991" s="143" t="s">
        <v>236</v>
      </c>
      <c r="I991" s="525"/>
      <c r="J991" s="525"/>
      <c r="K991" s="143"/>
      <c r="L991" s="143"/>
      <c r="M991" s="710"/>
      <c r="O991" s="733"/>
      <c r="P991" s="33"/>
      <c r="Q991" s="33"/>
      <c r="R991" s="33"/>
      <c r="S991" s="30"/>
      <c r="T991" s="155"/>
      <c r="U991" s="497"/>
      <c r="V991" s="30"/>
      <c r="W991" s="30"/>
      <c r="X991" s="497"/>
      <c r="Y991" s="526"/>
      <c r="Z991" s="30"/>
      <c r="AA991" s="30"/>
      <c r="AB991" s="30"/>
      <c r="AC991" s="30"/>
      <c r="AD991" s="30"/>
      <c r="AE991" s="30"/>
      <c r="AF991" s="30"/>
      <c r="AG991" s="30"/>
      <c r="AH991" s="30"/>
      <c r="AI991" s="30"/>
      <c r="AJ991" s="30"/>
      <c r="AK991" s="30"/>
      <c r="AL991" s="342"/>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3"/>
    </row>
    <row r="992" spans="1:78" s="142" customFormat="1" ht="12.75" hidden="1" customHeight="1" thickBot="1">
      <c r="A992" s="808"/>
      <c r="B992" s="166"/>
      <c r="C992" s="814" t="s">
        <v>197</v>
      </c>
      <c r="D992" s="512" t="str">
        <f>Translations!$B$634</f>
        <v>(prelim.) ITF:</v>
      </c>
      <c r="E992" s="513"/>
      <c r="F992" s="527"/>
      <c r="G992" s="1532" t="str">
        <f t="shared" ref="G992:G998" si="238">IF(OR(ISBLANK(F992),F992=EUconst_NoTier),"",IF(Z992=0,EUconst_NotApplicable,IF(ISERROR(Z992),"",Z992)))</f>
        <v/>
      </c>
      <c r="H992" s="1556"/>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3"/>
      <c r="Q992" s="33"/>
      <c r="R992" s="33"/>
      <c r="S992" s="30"/>
      <c r="T992" s="530" t="str">
        <f>EUconst_CNTR_EF&amp;E981</f>
        <v>EF_</v>
      </c>
      <c r="U992" s="497"/>
      <c r="V992" s="531" t="str">
        <f>V990</f>
        <v/>
      </c>
      <c r="W992" s="30"/>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0"/>
      <c r="AC992" s="535" t="b">
        <f>AND(AC990,Y992&lt;&gt;EUconst_NA)</f>
        <v>0</v>
      </c>
      <c r="AD992" s="30"/>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0"/>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0"/>
      <c r="BA992" s="30"/>
      <c r="BB992" s="547" t="s">
        <v>594</v>
      </c>
      <c r="BC992" s="546" t="str">
        <f>IF(K980=BC990,AR990*IF(AJ992=EUconst_tCO2pTJ,(AR993/1000),1)*AR992*AR994*AR998,"")</f>
        <v/>
      </c>
      <c r="BD992" s="524" t="str">
        <f>IF(K980=BD990,AR990*AR992*AR995*AR998,"")</f>
        <v/>
      </c>
      <c r="BE992" s="523"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1" t="b">
        <f>OR(BZ990,Y992=EUconst_NA)</f>
        <v>1</v>
      </c>
    </row>
    <row r="993" spans="1:78" s="142" customFormat="1" ht="12.75" hidden="1" customHeight="1" thickBot="1">
      <c r="A993" s="808"/>
      <c r="B993" s="166"/>
      <c r="C993" s="814" t="s">
        <v>198</v>
      </c>
      <c r="D993" s="512" t="str">
        <f>Translations!$B$636</f>
        <v>GŠV:</v>
      </c>
      <c r="E993" s="513"/>
      <c r="F993" s="548"/>
      <c r="G993" s="1532" t="str">
        <f t="shared" si="238"/>
        <v/>
      </c>
      <c r="H993" s="1533"/>
      <c r="I993" s="1169" t="str">
        <f>AJ993</f>
        <v/>
      </c>
      <c r="J993" s="549"/>
      <c r="K993" s="550" t="str">
        <f t="shared" si="239"/>
        <v/>
      </c>
      <c r="L993" s="551"/>
      <c r="M993" s="709" t="str">
        <f>IF(AND(E981&lt;&gt;"",OR(F993="",COUNT(K993:L993)=0),Y993&lt;&gt;EUconst_NA,T981&lt;&gt;TRUE),EUconst_ERR_Incomplete,IF(COUNTIF(AX993:AZ993,TRUE)&gt;0,EUconst_ERR_Inconsistent,""))</f>
        <v/>
      </c>
      <c r="O993" s="733"/>
      <c r="P993" s="33"/>
      <c r="Q993" s="33"/>
      <c r="R993" s="33"/>
      <c r="S993" s="30"/>
      <c r="T993" s="552" t="str">
        <f>EUconst_CNTR_NCV&amp;E981</f>
        <v>NCV_</v>
      </c>
      <c r="U993" s="497"/>
      <c r="V993" s="553" t="str">
        <f t="shared" ref="V993:V998" si="244">V992</f>
        <v/>
      </c>
      <c r="W993" s="30"/>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0"/>
      <c r="AC993" s="557" t="b">
        <f>AND(AC990,Y993&lt;&gt;EUconst_NA)</f>
        <v>0</v>
      </c>
      <c r="AD993" s="30"/>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0"/>
      <c r="AV993" s="567" t="b">
        <f t="shared" si="241"/>
        <v>0</v>
      </c>
      <c r="AW993" s="568" t="b">
        <f t="shared" si="242"/>
        <v>0</v>
      </c>
      <c r="AX993" s="30"/>
      <c r="AY993" s="553" t="b">
        <f t="shared" si="243"/>
        <v>0</v>
      </c>
      <c r="AZ993" s="30"/>
      <c r="BA993" s="30"/>
      <c r="BB993" s="547" t="s">
        <v>595</v>
      </c>
      <c r="BC993" s="546" t="str">
        <f>IF(K980=BC990,AR990*IF(AJ992=EUconst_tCO2pTJ,(AR993/1000),1)*AR992*AR994*AR997,"")</f>
        <v/>
      </c>
      <c r="BD993" s="524" t="str">
        <f>IF(K980=BD990,AR990*AR992*AR995*AR997,"")</f>
        <v/>
      </c>
      <c r="BE993" s="523"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3" t="b">
        <f>OR(BZ990,Y993=EUconst_NA)</f>
        <v>1</v>
      </c>
    </row>
    <row r="994" spans="1:78" s="142" customFormat="1" ht="12.75" hidden="1" customHeight="1" thickBot="1">
      <c r="A994" s="808"/>
      <c r="B994" s="166"/>
      <c r="C994" s="814" t="s">
        <v>199</v>
      </c>
      <c r="D994" s="512" t="str">
        <f>Translations!$B$638</f>
        <v>OksK:</v>
      </c>
      <c r="E994" s="513"/>
      <c r="F994" s="548"/>
      <c r="G994" s="1532" t="str">
        <f t="shared" si="238"/>
        <v/>
      </c>
      <c r="H994" s="1533"/>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3"/>
      <c r="Q994" s="33"/>
      <c r="R994" s="33"/>
      <c r="S994" s="30"/>
      <c r="T994" s="552" t="str">
        <f>EUconst_CNTR_OxidationFactor&amp;E981</f>
        <v>OxF_</v>
      </c>
      <c r="U994" s="497"/>
      <c r="V994" s="553" t="str">
        <f t="shared" si="244"/>
        <v/>
      </c>
      <c r="W994" s="30"/>
      <c r="X994" s="497"/>
      <c r="Y994" s="554" t="str">
        <f>IF(OR(T981=TRUE,E981=""),"",INDEX(EUwideConstants!$N:$N,MATCH(T994,EUwideConstants!$Q:$Q,0)))</f>
        <v/>
      </c>
      <c r="Z994" s="555" t="str">
        <f>IF(ISBLANK(F994),"",IF(F994=EUconst_NA,"",INDEX(EUwideConstants!$H:$M,MATCH(T994,EUwideConstants!$Q:$Q,0),MATCH(F994,CNTR_TierList,0))))</f>
        <v/>
      </c>
      <c r="AA994" s="534" t="str">
        <f>IF(F994=1,1,"")</f>
        <v/>
      </c>
      <c r="AB994" s="30"/>
      <c r="AC994" s="557" t="b">
        <f>AND(AC990,Y994&lt;&gt;EUconst_NA)</f>
        <v>0</v>
      </c>
      <c r="AD994" s="30"/>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0"/>
      <c r="AV994" s="567" t="b">
        <f t="shared" si="241"/>
        <v>0</v>
      </c>
      <c r="AW994" s="568" t="b">
        <f t="shared" si="242"/>
        <v>0</v>
      </c>
      <c r="AX994" s="30"/>
      <c r="AY994" s="594" t="b">
        <f t="shared" si="243"/>
        <v>0</v>
      </c>
      <c r="AZ994" s="531" t="b">
        <f>AR994&gt;100%</f>
        <v>0</v>
      </c>
      <c r="BA994" s="30"/>
      <c r="BB994" s="547" t="s">
        <v>290</v>
      </c>
      <c r="BC994" s="546" t="str">
        <f>IF(K980=BC990,AR990*IF(AJ992=EUconst_tCO2pTJ,(AR993/1000),1)*AR992*AR994*(1-AR997),"")</f>
        <v/>
      </c>
      <c r="BD994" s="524" t="str">
        <f>IF(K980=BD990,AR990*AR992*AR995*(1-AR997),"")</f>
        <v/>
      </c>
      <c r="BE994" s="523"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3" t="b">
        <f>OR(BZ990,Y994=EUconst_NA)</f>
        <v>1</v>
      </c>
    </row>
    <row r="995" spans="1:78" s="142" customFormat="1" ht="12.75" hidden="1" customHeight="1" thickBot="1">
      <c r="A995" s="808"/>
      <c r="B995" s="166"/>
      <c r="C995" s="814" t="s">
        <v>200</v>
      </c>
      <c r="D995" s="512" t="str">
        <f>Translations!$B$639</f>
        <v>KonvK:</v>
      </c>
      <c r="E995" s="513"/>
      <c r="F995" s="548"/>
      <c r="G995" s="1532" t="str">
        <f t="shared" si="238"/>
        <v/>
      </c>
      <c r="H995" s="1533"/>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3"/>
      <c r="Q995" s="33"/>
      <c r="R995" s="33"/>
      <c r="S995" s="30"/>
      <c r="T995" s="552" t="str">
        <f>EUconst_CNTR_ConversionFactor&amp;E981</f>
        <v>ConvF_</v>
      </c>
      <c r="U995" s="497"/>
      <c r="V995" s="553" t="str">
        <f t="shared" si="244"/>
        <v/>
      </c>
      <c r="W995" s="30"/>
      <c r="X995" s="497"/>
      <c r="Y995" s="554" t="str">
        <f>IF(OR(T981=TRUE,E981=""),"",INDEX(EUwideConstants!$N:$N,MATCH(T995,EUwideConstants!$Q:$Q,0)))</f>
        <v/>
      </c>
      <c r="Z995" s="555" t="str">
        <f>IF(ISBLANK(F995),"",IF(F995=EUconst_NA,"",INDEX(EUwideConstants!$H:$M,MATCH(T995,EUwideConstants!$Q:$Q,0),MATCH(F995,CNTR_TierList,0))))</f>
        <v/>
      </c>
      <c r="AA995" s="582" t="str">
        <f>IF(F995=1,1,"")</f>
        <v/>
      </c>
      <c r="AB995" s="30"/>
      <c r="AC995" s="557" t="b">
        <f>AND(AC990,Y995&lt;&gt;EUconst_NA)</f>
        <v>0</v>
      </c>
      <c r="AD995" s="30"/>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0"/>
      <c r="AV995" s="567" t="b">
        <f t="shared" si="241"/>
        <v>0</v>
      </c>
      <c r="AW995" s="568" t="b">
        <f t="shared" si="242"/>
        <v>0</v>
      </c>
      <c r="AX995" s="30"/>
      <c r="AY995" s="594" t="b">
        <f t="shared" si="243"/>
        <v>0</v>
      </c>
      <c r="AZ995" s="580" t="b">
        <f>AR995&gt;100%</f>
        <v>0</v>
      </c>
      <c r="BA995" s="30"/>
      <c r="BB995" s="578" t="s">
        <v>487</v>
      </c>
      <c r="BC995" s="579">
        <f>AR990*AR993/1000*(1-AR997)</f>
        <v>0</v>
      </c>
      <c r="BD995" s="580">
        <f>BC995</f>
        <v>0</v>
      </c>
      <c r="BE995" s="581">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3" t="b">
        <f>OR(BZ990,Y995=EUconst_NA)</f>
        <v>1</v>
      </c>
    </row>
    <row r="996" spans="1:78" s="142" customFormat="1" ht="12.75" hidden="1" customHeight="1" thickBot="1">
      <c r="A996" s="808"/>
      <c r="B996" s="166"/>
      <c r="C996" s="814" t="s">
        <v>329</v>
      </c>
      <c r="D996" s="512" t="str">
        <f>Translations!$B$640</f>
        <v>AnglK:</v>
      </c>
      <c r="E996" s="513"/>
      <c r="F996" s="548"/>
      <c r="G996" s="1532" t="str">
        <f t="shared" si="238"/>
        <v/>
      </c>
      <c r="H996" s="1533"/>
      <c r="I996" s="1170" t="str">
        <f>AJ996</f>
        <v/>
      </c>
      <c r="J996" s="586"/>
      <c r="K996" s="587" t="str">
        <f t="shared" si="239"/>
        <v/>
      </c>
      <c r="L996" s="588"/>
      <c r="M996" s="709" t="str">
        <f>IF(AND(E981&lt;&gt;"",OR(F996="",COUNT(K996:L996)=0),Y996&lt;&gt;EUconst_NA,T981&lt;&gt;TRUE),EUconst_ERR_Incomplete,IF(COUNTIF(AX996:AZ996,TRUE)&gt;0,EUconst_ERR_Inconsistent,""))</f>
        <v/>
      </c>
      <c r="O996" s="733"/>
      <c r="P996" s="33"/>
      <c r="Q996" s="33"/>
      <c r="R996" s="33"/>
      <c r="S996" s="30"/>
      <c r="T996" s="552" t="str">
        <f>EUconst_CNTR_CarbonContent&amp;E981</f>
        <v>CarbC_</v>
      </c>
      <c r="U996" s="497"/>
      <c r="V996" s="553" t="str">
        <f t="shared" si="244"/>
        <v/>
      </c>
      <c r="W996" s="30"/>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0"/>
      <c r="AC996" s="557" t="b">
        <f>AND(AC990,Y996&lt;&gt;EUconst_NA)</f>
        <v>0</v>
      </c>
      <c r="AD996" s="30"/>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0"/>
      <c r="AV996" s="567" t="b">
        <f t="shared" si="241"/>
        <v>0</v>
      </c>
      <c r="AW996" s="568" t="b">
        <f t="shared" si="242"/>
        <v>0</v>
      </c>
      <c r="AX996" s="546" t="b">
        <f>OR(AND(AJ990=EUconst_kNm3,AJ996=EUconst_tCpt),AND(AJ990=EUconst_t,AJ996=EUconst_tCpkNm3))</f>
        <v>0</v>
      </c>
      <c r="AY996" s="553" t="b">
        <f t="shared" si="243"/>
        <v>0</v>
      </c>
      <c r="AZ996" s="30"/>
      <c r="BA996" s="30"/>
      <c r="BB996" s="578" t="s">
        <v>488</v>
      </c>
      <c r="BC996" s="579">
        <f>AR990*AR993/1000*AR997</f>
        <v>0</v>
      </c>
      <c r="BD996" s="580">
        <f>BC996</f>
        <v>0</v>
      </c>
      <c r="BE996" s="581">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3" t="b">
        <f>OR(BZ990,Y996=EUconst_NA)</f>
        <v>1</v>
      </c>
    </row>
    <row r="997" spans="1:78" s="142" customFormat="1" ht="12.75" hidden="1" customHeight="1">
      <c r="A997" s="808"/>
      <c r="B997" s="166"/>
      <c r="C997" s="777" t="s">
        <v>330</v>
      </c>
      <c r="D997" s="512" t="str">
        <f>Translations!$B$641</f>
        <v>BioC:</v>
      </c>
      <c r="E997" s="513"/>
      <c r="F997" s="548"/>
      <c r="G997" s="1532" t="str">
        <f t="shared" si="238"/>
        <v/>
      </c>
      <c r="H997" s="1533"/>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0"/>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0"/>
      <c r="AC997" s="557" t="b">
        <f>AND(AC990,Y997&lt;&gt;EUconst_NA)</f>
        <v>0</v>
      </c>
      <c r="AD997" s="30"/>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0"/>
      <c r="AV997" s="567" t="b">
        <f t="shared" si="241"/>
        <v>0</v>
      </c>
      <c r="AW997" s="568" t="b">
        <f t="shared" si="242"/>
        <v>0</v>
      </c>
      <c r="AX997" s="30"/>
      <c r="AY997" s="594" t="b">
        <f t="shared" si="243"/>
        <v>0</v>
      </c>
      <c r="AZ997" s="531"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3" t="b">
        <f>OR(BZ990,Y997=EUconst_NA)</f>
        <v>1</v>
      </c>
    </row>
    <row r="998" spans="1:78" s="142" customFormat="1" ht="12.75" hidden="1" customHeight="1" thickBot="1">
      <c r="A998" s="808"/>
      <c r="B998" s="166"/>
      <c r="C998" s="777" t="s">
        <v>454</v>
      </c>
      <c r="D998" s="512" t="str">
        <f>Translations!$B$647</f>
        <v>Netvar. BioC:</v>
      </c>
      <c r="E998" s="513"/>
      <c r="F998" s="597"/>
      <c r="G998" s="1532" t="str">
        <f t="shared" si="238"/>
        <v/>
      </c>
      <c r="H998" s="1533"/>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0"/>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0"/>
      <c r="AC998" s="603" t="b">
        <f>AND(AC990,Y998&lt;&gt;EUconst_NA)</f>
        <v>0</v>
      </c>
      <c r="AD998" s="30"/>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0"/>
      <c r="AV998" s="613" t="b">
        <f t="shared" si="241"/>
        <v>0</v>
      </c>
      <c r="AW998" s="614" t="b">
        <f t="shared" si="242"/>
        <v>0</v>
      </c>
      <c r="AX998" s="30"/>
      <c r="AY998" s="579" t="b">
        <f t="shared" si="243"/>
        <v>0</v>
      </c>
      <c r="AZ998" s="580"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80" t="b">
        <f>OR(BZ990,Y998=EUconst_NA)</f>
        <v>1</v>
      </c>
    </row>
    <row r="999" spans="1:78" s="142" customFormat="1" ht="4.5" hidden="1" customHeight="1">
      <c r="A999" s="808"/>
      <c r="B999" s="166"/>
      <c r="C999" s="166"/>
      <c r="D999" s="180"/>
      <c r="O999" s="733"/>
      <c r="P999" s="33"/>
      <c r="Q999" s="33"/>
      <c r="R999" s="33"/>
      <c r="S999" s="174"/>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hidden="1" customHeight="1">
      <c r="A1000" s="808"/>
      <c r="B1000" s="166"/>
      <c r="C1000" s="166"/>
      <c r="D1000" s="1558" t="str">
        <f>Translations!$B$674</f>
        <v>Pakopos galioja nuo:</v>
      </c>
      <c r="E1000" s="1558"/>
      <c r="F1000" s="1559"/>
      <c r="G1000" s="1052"/>
      <c r="H1000" s="615" t="str">
        <f>Translations!$B$675</f>
        <v>iki:</v>
      </c>
      <c r="I1000" s="1052"/>
      <c r="J1000" s="1536" t="str">
        <f>Translations!$B$676</f>
        <v>Atliekų katalogo numeris (jeigu taikytina):</v>
      </c>
      <c r="K1000" s="1537"/>
      <c r="L1000" s="1537"/>
      <c r="M1000" s="1538"/>
      <c r="N1000" s="1289"/>
      <c r="O1000" s="733"/>
      <c r="P1000" s="33"/>
      <c r="Q1000" s="33"/>
      <c r="R1000" s="33"/>
      <c r="S1000" s="1290"/>
      <c r="T1000" s="492"/>
      <c r="U1000" s="492"/>
      <c r="V1000" s="48" t="b">
        <f>IF(V990="",FALSE,INDEX(CNTR_IsWaste,MATCH(V990,MSParameters!$A$218:$A$376,0)))</f>
        <v>0</v>
      </c>
      <c r="W1000" s="1290"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2.25" hidden="1" customHeight="1">
      <c r="A1001" s="808"/>
      <c r="B1001" s="166"/>
      <c r="C1001" s="166"/>
      <c r="D1001" s="615"/>
      <c r="E1001" s="495"/>
      <c r="F1001" s="495"/>
      <c r="G1001" s="495"/>
      <c r="H1001" s="495"/>
      <c r="I1001" s="495"/>
      <c r="J1001" s="495"/>
      <c r="K1001" s="495"/>
      <c r="L1001" s="495"/>
      <c r="M1001" s="495"/>
      <c r="N1001" s="495"/>
      <c r="O1001" s="733"/>
      <c r="P1001" s="33"/>
      <c r="Q1001" s="33"/>
      <c r="R1001" s="33"/>
      <c r="S1001" s="174"/>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hidden="1" customHeight="1">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3"/>
      <c r="Q1002" s="33"/>
      <c r="R1002" s="33"/>
      <c r="S1002" s="174"/>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4.5" hidden="1" customHeight="1">
      <c r="A1003" s="815"/>
      <c r="D1003" s="180"/>
      <c r="O1003" s="573"/>
      <c r="P1003" s="497"/>
      <c r="Q1003" s="497"/>
      <c r="R1003" s="497"/>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hidden="1">
      <c r="A1004" s="815"/>
      <c r="D1004" s="1534" t="str">
        <f>Translations!$B$160</f>
        <v>Pastabos:</v>
      </c>
      <c r="E1004" s="1535"/>
      <c r="F1004" s="1539"/>
      <c r="G1004" s="1540"/>
      <c r="H1004" s="1540"/>
      <c r="I1004" s="1540"/>
      <c r="J1004" s="1540"/>
      <c r="K1004" s="1540"/>
      <c r="L1004" s="1540"/>
      <c r="M1004" s="1540"/>
      <c r="N1004" s="1541"/>
      <c r="O1004" s="573"/>
      <c r="P1004" s="497"/>
      <c r="Q1004" s="497"/>
      <c r="R1004" s="497"/>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c r="A1005" s="808"/>
      <c r="B1005" s="495"/>
      <c r="C1005" s="499"/>
      <c r="D1005" s="500"/>
      <c r="E1005" s="501"/>
      <c r="F1005" s="499"/>
      <c r="G1005" s="502"/>
      <c r="H1005" s="502"/>
      <c r="I1005" s="502"/>
      <c r="J1005" s="502"/>
      <c r="K1005" s="502"/>
      <c r="L1005" s="502"/>
      <c r="M1005" s="502"/>
      <c r="N1005" s="502"/>
      <c r="O1005" s="740"/>
      <c r="P1005" s="494"/>
      <c r="Q1005" s="494"/>
      <c r="R1005" s="494"/>
      <c r="S1005" s="58"/>
      <c r="T1005" s="58"/>
      <c r="U1005" s="498"/>
      <c r="V1005" s="58"/>
      <c r="W1005" s="58"/>
      <c r="X1005" s="49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c r="A1006" s="813"/>
      <c r="B1006" s="495"/>
      <c r="C1006" s="495"/>
      <c r="D1006" s="180"/>
      <c r="E1006" s="496"/>
      <c r="F1006" s="495"/>
      <c r="G1006" s="487"/>
      <c r="H1006" s="487"/>
      <c r="I1006" s="487"/>
      <c r="J1006" s="487"/>
      <c r="K1006" s="495"/>
      <c r="L1006" s="487"/>
      <c r="M1006" s="487"/>
      <c r="N1006" s="487"/>
      <c r="O1006" s="740"/>
      <c r="P1006" s="494"/>
      <c r="Q1006" s="494"/>
      <c r="R1006" s="494"/>
      <c r="S1006" s="23"/>
      <c r="T1006" s="27" t="str">
        <f>IF(ISBLANK(E1007),"",MATCH(E1007,CNTR_SourceStreamNames,0))</f>
        <v/>
      </c>
      <c r="U1006" s="618"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1"/>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3" t="s">
        <v>262</v>
      </c>
    </row>
    <row r="1007" spans="1:78" s="142" customFormat="1" ht="15" hidden="1" customHeight="1" thickBot="1">
      <c r="A1007" s="869" t="str">
        <f>IF(E1007="","","PRINT")</f>
        <v/>
      </c>
      <c r="B1007" s="166"/>
      <c r="C1007" s="617">
        <f>C980+1</f>
        <v>36</v>
      </c>
      <c r="D1007" s="166"/>
      <c r="E1007" s="1542"/>
      <c r="F1007" s="1543"/>
      <c r="G1007" s="1543"/>
      <c r="H1007" s="1543"/>
      <c r="I1007" s="1543"/>
      <c r="J1007" s="1544"/>
      <c r="K1007" s="1545" t="str">
        <f>IF(E1008="","",INDEX(EUwideConstants!$F$353:$F$394,MATCH(E1008,EUConst_TierActivityListNames,0)))</f>
        <v/>
      </c>
      <c r="L1007" s="1546"/>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3"/>
      <c r="T1007" s="509" t="s">
        <v>393</v>
      </c>
      <c r="U1007" s="23"/>
      <c r="V1007" s="78"/>
      <c r="W1007" s="56"/>
      <c r="X1007" s="58"/>
      <c r="Y1007" s="58"/>
      <c r="Z1007" s="58"/>
      <c r="AA1007" s="58"/>
      <c r="AB1007" s="58"/>
      <c r="AC1007" s="58"/>
      <c r="AD1007" s="58"/>
      <c r="AE1007" s="58"/>
      <c r="AF1007" s="58"/>
      <c r="AG1007" s="58"/>
      <c r="AH1007" s="58"/>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6"/>
      <c r="BZ1007" s="619" t="b">
        <f>CNTR_CalcRelevant=EUconst_NotRelevant</f>
        <v>0</v>
      </c>
    </row>
    <row r="1008" spans="1:78" s="142" customFormat="1" ht="15" hidden="1" customHeight="1" thickBot="1">
      <c r="A1008" s="808"/>
      <c r="B1008" s="166"/>
      <c r="C1008" s="166"/>
      <c r="D1008" s="166"/>
      <c r="E1008" s="1547" t="str">
        <f>IF(ISBLANK(E1007),"",IF(INDEX(B_InstallationDescription!$E$71:$E$145,MATCH(U1006,B_InstallationDescription!$D$71:$D$145,0))&gt;0,INDEX(B_InstallationDescription!$E$71:$E$145,MATCH(U1006,B_InstallationDescription!$D$71:$D$145,0)),""))</f>
        <v/>
      </c>
      <c r="F1008" s="1548"/>
      <c r="G1008" s="1548"/>
      <c r="H1008" s="1548"/>
      <c r="I1008" s="1548"/>
      <c r="J1008" s="1549"/>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4"/>
      <c r="AH1008" s="30"/>
      <c r="AI1008" s="30"/>
      <c r="AJ1008" s="504"/>
      <c r="AK1008" s="504"/>
      <c r="AL1008" s="342"/>
      <c r="AM1008" s="27" t="s">
        <v>308</v>
      </c>
      <c r="AN1008" s="505"/>
      <c r="AO1008" s="505"/>
      <c r="AP1008" s="30"/>
      <c r="AQ1008" s="30"/>
      <c r="AR1008" s="30"/>
      <c r="AS1008" s="30"/>
      <c r="AT1008" s="30"/>
      <c r="AU1008" s="30"/>
      <c r="AV1008" s="27" t="s">
        <v>315</v>
      </c>
      <c r="AW1008" s="30"/>
      <c r="AX1008" s="492"/>
      <c r="AY1008" s="30"/>
      <c r="AZ1008" s="30"/>
      <c r="BA1008" s="30"/>
      <c r="BB1008" s="27" t="s">
        <v>219</v>
      </c>
      <c r="BC1008" s="30"/>
      <c r="BD1008" s="30"/>
      <c r="BE1008" s="30"/>
      <c r="BF1008" s="30"/>
      <c r="BG1008" s="27"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0"/>
      <c r="BZ1008" s="30"/>
    </row>
    <row r="1009" spans="1:78" s="142" customFormat="1" ht="4.5" hidden="1" customHeight="1">
      <c r="A1009" s="808"/>
      <c r="B1009" s="166"/>
      <c r="C1009" s="166"/>
      <c r="D1009" s="166"/>
      <c r="E1009" s="166"/>
      <c r="F1009" s="166"/>
      <c r="G1009" s="166"/>
      <c r="M1009" s="143"/>
      <c r="N1009" s="143"/>
      <c r="O1009" s="733"/>
      <c r="P1009" s="33"/>
      <c r="Q1009" s="33"/>
      <c r="R1009" s="33"/>
      <c r="S1009" s="23"/>
      <c r="T1009" s="23"/>
      <c r="U1009" s="23"/>
      <c r="V1009" s="78"/>
      <c r="W1009" s="30"/>
      <c r="X1009" s="30"/>
      <c r="Y1009" s="494"/>
      <c r="Z1009" s="30"/>
      <c r="AA1009" s="30"/>
      <c r="AB1009" s="30"/>
      <c r="AC1009" s="30"/>
      <c r="AD1009" s="30"/>
      <c r="AE1009" s="30"/>
      <c r="AF1009" s="58"/>
      <c r="AG1009" s="30"/>
      <c r="AH1009" s="30"/>
      <c r="AI1009" s="30"/>
      <c r="AJ1009" s="504"/>
      <c r="AK1009" s="504"/>
      <c r="AL1009" s="342"/>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hidden="1" customHeight="1" thickBot="1">
      <c r="A1010" s="808"/>
      <c r="B1010" s="166"/>
      <c r="C1010" s="166"/>
      <c r="D1010" s="166"/>
      <c r="E1010" s="1550" t="str">
        <f>IF(E1007="","",IF(T1008=TRUE,HYPERLINK("#JUMP_14",EUconst_MsgGoOnPFC),HYPERLINK("#JUMP_E_8",EUconst_FurtherGuidancePoint1)))</f>
        <v/>
      </c>
      <c r="F1010" s="1550"/>
      <c r="G1010" s="1550"/>
      <c r="H1010" s="1550"/>
      <c r="I1010" s="1550"/>
      <c r="J1010" s="1550"/>
      <c r="K1010" s="1550"/>
      <c r="L1010" s="1550"/>
      <c r="M1010" s="1550"/>
      <c r="N1010" s="143"/>
      <c r="O1010" s="733"/>
      <c r="P1010" s="33"/>
      <c r="Q1010" s="352" t="str">
        <f>EUconst_SumNonSustBioCO2 &amp; "_" &amp; K1007</f>
        <v>SUM_bioNonSustCO2_</v>
      </c>
      <c r="R1010" s="707"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4"/>
      <c r="AK1010" s="504"/>
      <c r="AL1010" s="342"/>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hidden="1" customHeight="1">
      <c r="A1011" s="808"/>
      <c r="B1011" s="166"/>
      <c r="C1011" s="166"/>
      <c r="D1011" s="166"/>
      <c r="E1011" s="166"/>
      <c r="F1011" s="166"/>
      <c r="G1011" s="166"/>
      <c r="M1011" s="143"/>
      <c r="N1011" s="143"/>
      <c r="O1011" s="733"/>
      <c r="P1011" s="23"/>
      <c r="Q1011" s="23"/>
      <c r="R1011" s="23"/>
      <c r="S1011" s="23"/>
      <c r="T1011" s="23"/>
      <c r="U1011" s="23"/>
      <c r="V1011" s="30"/>
      <c r="W1011" s="30"/>
      <c r="X1011" s="30"/>
      <c r="Y1011" s="494"/>
      <c r="Z1011" s="30"/>
      <c r="AA1011" s="30"/>
      <c r="AB1011" s="30"/>
      <c r="AC1011" s="30"/>
      <c r="AD1011" s="30"/>
      <c r="AE1011" s="30"/>
      <c r="AF1011" s="58"/>
      <c r="AG1011" s="30"/>
      <c r="AH1011" s="30"/>
      <c r="AI1011" s="30"/>
      <c r="AJ1011" s="504"/>
      <c r="AK1011" s="504"/>
      <c r="AL1011" s="342"/>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hidden="1" customHeight="1" thickBot="1">
      <c r="A1012" s="808"/>
      <c r="B1012" s="166"/>
      <c r="C1012" s="814" t="s">
        <v>4</v>
      </c>
      <c r="D1012" s="512" t="str">
        <f>Translations!$B$622</f>
        <v>VD:</v>
      </c>
      <c r="E1012" s="1560" t="str">
        <f>Translations!$B$667</f>
        <v>Ar veiklos duomenys gaunami sudedant išmatuotus kiekius (t. y. ne atliekant nuolatinius matavimus)?</v>
      </c>
      <c r="F1012" s="1560"/>
      <c r="G1012" s="1560"/>
      <c r="H1012" s="1560"/>
      <c r="I1012" s="1560"/>
      <c r="J1012" s="1560"/>
      <c r="K1012" s="1560"/>
      <c r="L1012" s="1179"/>
      <c r="M1012" s="507"/>
      <c r="O1012" s="733"/>
      <c r="P1012" s="23"/>
      <c r="Q1012" s="23"/>
      <c r="R1012" s="23"/>
      <c r="S1012" s="23"/>
      <c r="T1012" s="23"/>
      <c r="U1012" s="23"/>
      <c r="V1012" s="30"/>
      <c r="W1012" s="30"/>
      <c r="X1012" s="30"/>
      <c r="Y1012" s="494"/>
      <c r="Z1012" s="30"/>
      <c r="AA1012" s="30"/>
      <c r="AB1012" s="30"/>
      <c r="AC1012" s="1172" t="b">
        <f>AND(E1007&lt;&gt;"",T1008&lt;&gt;TRUE)</f>
        <v>0</v>
      </c>
      <c r="AD1012" s="30"/>
      <c r="AE1012" s="30"/>
      <c r="AF1012" s="58"/>
      <c r="AG1012" s="30"/>
      <c r="AH1012" s="30"/>
      <c r="AI1012" s="30"/>
      <c r="AJ1012" s="504"/>
      <c r="AK1012" s="504"/>
      <c r="AL1012" s="342"/>
      <c r="AM1012" s="30"/>
      <c r="AN1012" s="30"/>
      <c r="AO1012" s="30"/>
      <c r="AP1012" s="30"/>
      <c r="AQ1012" s="30"/>
      <c r="AR1012" s="30"/>
      <c r="AS1012" s="30"/>
      <c r="AT1012" s="1172"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2" t="b">
        <f>OR(CNTR_CalcRelevant=EUconst_NotRelevant,AND(COUNTA(CNTR_ListRelevantSections)&gt;0,OR(T1008=TRUE,E1007="")))</f>
        <v>1</v>
      </c>
    </row>
    <row r="1013" spans="1:78" s="142" customFormat="1" ht="5.0999999999999996" hidden="1" customHeight="1">
      <c r="A1013" s="808"/>
      <c r="B1013" s="166"/>
      <c r="C1013" s="166"/>
      <c r="D1013" s="166"/>
      <c r="E1013" s="166"/>
      <c r="F1013" s="166"/>
      <c r="G1013" s="166"/>
      <c r="H1013" s="495"/>
      <c r="I1013" s="495"/>
      <c r="J1013" s="495"/>
      <c r="K1013" s="495"/>
      <c r="L1013" s="495"/>
      <c r="M1013" s="507"/>
      <c r="O1013" s="733"/>
      <c r="P1013" s="23"/>
      <c r="Q1013" s="23"/>
      <c r="R1013" s="23"/>
      <c r="S1013" s="23"/>
      <c r="T1013" s="23"/>
      <c r="U1013" s="23"/>
      <c r="V1013" s="30"/>
      <c r="W1013" s="30"/>
      <c r="X1013" s="30"/>
      <c r="Y1013" s="494"/>
      <c r="Z1013" s="30"/>
      <c r="AA1013" s="30"/>
      <c r="AB1013" s="30"/>
      <c r="AC1013" s="492"/>
      <c r="AD1013" s="30"/>
      <c r="AE1013" s="30"/>
      <c r="AF1013" s="58"/>
      <c r="AG1013" s="30"/>
      <c r="AH1013" s="30"/>
      <c r="AI1013" s="30"/>
      <c r="AJ1013" s="504"/>
      <c r="AK1013" s="504"/>
      <c r="AL1013" s="342"/>
      <c r="AM1013" s="30"/>
      <c r="AN1013" s="30"/>
      <c r="AO1013" s="30"/>
      <c r="AP1013" s="30"/>
      <c r="AQ1013" s="30"/>
      <c r="AR1013" s="30"/>
      <c r="AS1013" s="30"/>
      <c r="AT1013" s="492"/>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2"/>
    </row>
    <row r="1014" spans="1:78" s="142" customFormat="1" ht="12.75" hidden="1" customHeight="1" thickBot="1">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3"/>
      <c r="Q1014" s="23"/>
      <c r="R1014" s="23"/>
      <c r="S1014" s="23"/>
      <c r="T1014" s="23"/>
      <c r="U1014" s="23"/>
      <c r="V1014" s="30"/>
      <c r="W1014" s="30"/>
      <c r="X1014" s="30"/>
      <c r="Y1014" s="494"/>
      <c r="Z1014" s="30"/>
      <c r="AA1014" s="30"/>
      <c r="AB1014" s="30"/>
      <c r="AC1014" s="1172" t="b">
        <f>AC1012</f>
        <v>0</v>
      </c>
      <c r="AD1014" s="30"/>
      <c r="AE1014" s="30"/>
      <c r="AF1014" s="58"/>
      <c r="AG1014" s="30"/>
      <c r="AH1014" s="30"/>
      <c r="AI1014" s="30"/>
      <c r="AJ1014" s="504"/>
      <c r="AK1014" s="504"/>
      <c r="AL1014" s="342"/>
      <c r="AM1014" s="30"/>
      <c r="AN1014" s="30"/>
      <c r="AO1014" s="30"/>
      <c r="AP1014" s="30"/>
      <c r="AQ1014" s="30"/>
      <c r="AR1014" s="30"/>
      <c r="AS1014" s="30"/>
      <c r="AT1014" s="1172"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2" t="b">
        <f>OR(BZ1012,AND(NOT(ISBLANK(L1012)),L1012=FALSE))</f>
        <v>1</v>
      </c>
    </row>
    <row r="1015" spans="1:78" s="142" customFormat="1" ht="5.0999999999999996" hidden="1" customHeight="1">
      <c r="A1015" s="808"/>
      <c r="B1015" s="166"/>
      <c r="C1015" s="166"/>
      <c r="D1015" s="166"/>
      <c r="E1015" s="166"/>
      <c r="F1015" s="166"/>
      <c r="G1015" s="166"/>
      <c r="M1015" s="143"/>
      <c r="N1015" s="143"/>
      <c r="O1015" s="733"/>
      <c r="P1015" s="23"/>
      <c r="Q1015" s="23"/>
      <c r="R1015" s="23"/>
      <c r="S1015" s="23"/>
      <c r="T1015" s="23"/>
      <c r="U1015" s="23"/>
      <c r="V1015" s="30"/>
      <c r="W1015" s="30"/>
      <c r="X1015" s="30"/>
      <c r="Y1015" s="494"/>
      <c r="Z1015" s="30"/>
      <c r="AA1015" s="30"/>
      <c r="AB1015" s="30"/>
      <c r="AC1015" s="30"/>
      <c r="AD1015" s="30"/>
      <c r="AE1015" s="30"/>
      <c r="AF1015" s="58"/>
      <c r="AG1015" s="30"/>
      <c r="AH1015" s="30"/>
      <c r="AI1015" s="30"/>
      <c r="AJ1015" s="504"/>
      <c r="AK1015" s="504"/>
      <c r="AL1015" s="342"/>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hidden="1" customHeight="1" thickBot="1">
      <c r="A1016" s="808"/>
      <c r="B1016" s="166"/>
      <c r="C1016" s="166"/>
      <c r="D1016" s="166"/>
      <c r="E1016" s="166"/>
      <c r="F1016" s="506" t="str">
        <f>Translations!$B$333</f>
        <v>Pakopa</v>
      </c>
      <c r="G1016" s="1557" t="str">
        <f>Translations!$B$672</f>
        <v>pakopos aprašas</v>
      </c>
      <c r="H1016" s="1557"/>
      <c r="I1016" s="1555" t="str">
        <f>Translations!$B$158</f>
        <v>Vienetas</v>
      </c>
      <c r="J1016" s="1555"/>
      <c r="K1016" s="1555" t="str">
        <f>Translations!$B$673</f>
        <v>Vertė</v>
      </c>
      <c r="L1016" s="1555"/>
      <c r="M1016" s="507" t="str">
        <f>Translations!$B$610</f>
        <v>klaida</v>
      </c>
      <c r="O1016" s="733"/>
      <c r="P1016" s="508"/>
      <c r="Q1016" s="352" t="str">
        <f>EUconst_SumEnergyIN &amp; "_" &amp; K1007</f>
        <v>SUM_EnergyIN_</v>
      </c>
      <c r="R1016" s="399" t="str">
        <f>IF(OR(K1007="",T1008)=TRUE,"",INDEX(BC1022:BE1022,MATCH(K1007,BC1017:BE1017,0)))</f>
        <v/>
      </c>
      <c r="S1016" s="30"/>
      <c r="T1016" s="489"/>
      <c r="U1016" s="30"/>
      <c r="V1016" s="509" t="s">
        <v>303</v>
      </c>
      <c r="W1016" s="30"/>
      <c r="X1016" s="30"/>
      <c r="Y1016" s="494" t="s">
        <v>566</v>
      </c>
      <c r="Z1016" s="494" t="s">
        <v>318</v>
      </c>
      <c r="AA1016" s="30"/>
      <c r="AB1016" s="30"/>
      <c r="AC1016" s="505" t="s">
        <v>309</v>
      </c>
      <c r="AD1016" s="30"/>
      <c r="AE1016" s="30"/>
      <c r="AF1016" s="492" t="s">
        <v>305</v>
      </c>
      <c r="AG1016" s="492" t="s">
        <v>306</v>
      </c>
      <c r="AH1016" s="494" t="s">
        <v>304</v>
      </c>
      <c r="AI1016" s="504" t="s">
        <v>307</v>
      </c>
      <c r="AJ1016" s="504" t="s">
        <v>567</v>
      </c>
      <c r="AK1016" s="510" t="s">
        <v>311</v>
      </c>
      <c r="AL1016" s="342"/>
      <c r="AM1016" s="30"/>
      <c r="AN1016" s="492" t="s">
        <v>305</v>
      </c>
      <c r="AO1016" s="492" t="s">
        <v>306</v>
      </c>
      <c r="AP1016" s="511" t="s">
        <v>310</v>
      </c>
      <c r="AQ1016" s="504" t="s">
        <v>569</v>
      </c>
      <c r="AR1016" s="504" t="s">
        <v>568</v>
      </c>
      <c r="AS1016" s="510" t="s">
        <v>609</v>
      </c>
      <c r="AT1016" s="510" t="s">
        <v>609</v>
      </c>
      <c r="AU1016" s="30"/>
      <c r="AV1016" s="492"/>
      <c r="AW1016" s="492"/>
      <c r="AX1016" s="492" t="s">
        <v>321</v>
      </c>
      <c r="AY1016" s="492"/>
      <c r="AZ1016" s="492"/>
      <c r="BA1016" s="492"/>
      <c r="BB1016" s="492"/>
      <c r="BC1016" s="492"/>
      <c r="BD1016" s="492"/>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3" t="s">
        <v>262</v>
      </c>
    </row>
    <row r="1017" spans="1:78" s="142" customFormat="1" ht="12.75" hidden="1" customHeight="1" thickBot="1">
      <c r="A1017" s="808"/>
      <c r="B1017" s="166"/>
      <c r="C1017" s="777" t="s">
        <v>196</v>
      </c>
      <c r="D1017" s="512" t="str">
        <f>Translations!$B$622</f>
        <v>VD:</v>
      </c>
      <c r="E1017" s="513"/>
      <c r="F1017" s="402"/>
      <c r="G1017" s="1532" t="str">
        <f>IF(OR(ISBLANK(F1017),F1017=EUconst_NoTier),"",IF(Z1017=0,EUconst_NA,IF(ISERROR(Z1017),"",Z1017)))</f>
        <v/>
      </c>
      <c r="H1017" s="1533"/>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0"/>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0"/>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0"/>
      <c r="AV1017" s="492" t="s">
        <v>314</v>
      </c>
      <c r="AW1017" s="492" t="s">
        <v>319</v>
      </c>
      <c r="AX1017" s="524"/>
      <c r="AY1017" s="30" t="s">
        <v>542</v>
      </c>
      <c r="AZ1017" s="30"/>
      <c r="BA1017" s="30"/>
      <c r="BB1017" s="504"/>
      <c r="BC1017" s="493" t="str">
        <f>EUconst_Fuel</f>
        <v>Degimas</v>
      </c>
      <c r="BD1017" s="493" t="str">
        <f>EUconst_ProcessCarbonate</f>
        <v>Proceso metu išsiskiriančios ŠESD</v>
      </c>
      <c r="BE1017" s="493"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4" t="b">
        <f>BZ1012</f>
        <v>1</v>
      </c>
    </row>
    <row r="1018" spans="1:78" s="142" customFormat="1" ht="4.5" hidden="1" customHeight="1">
      <c r="A1018" s="808"/>
      <c r="B1018" s="166"/>
      <c r="C1018" s="814"/>
      <c r="D1018" s="306"/>
      <c r="F1018" s="143"/>
      <c r="G1018" s="143"/>
      <c r="H1018" s="143" t="s">
        <v>236</v>
      </c>
      <c r="I1018" s="525"/>
      <c r="J1018" s="525"/>
      <c r="K1018" s="143"/>
      <c r="L1018" s="143"/>
      <c r="M1018" s="710"/>
      <c r="O1018" s="733"/>
      <c r="P1018" s="33"/>
      <c r="Q1018" s="33"/>
      <c r="R1018" s="33"/>
      <c r="S1018" s="30"/>
      <c r="T1018" s="155"/>
      <c r="U1018" s="497"/>
      <c r="V1018" s="30"/>
      <c r="W1018" s="30"/>
      <c r="X1018" s="497"/>
      <c r="Y1018" s="526"/>
      <c r="Z1018" s="30"/>
      <c r="AA1018" s="30"/>
      <c r="AB1018" s="30"/>
      <c r="AC1018" s="30"/>
      <c r="AD1018" s="30"/>
      <c r="AE1018" s="30"/>
      <c r="AF1018" s="30"/>
      <c r="AG1018" s="30"/>
      <c r="AH1018" s="30"/>
      <c r="AI1018" s="30"/>
      <c r="AJ1018" s="30"/>
      <c r="AK1018" s="30"/>
      <c r="AL1018" s="342"/>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3"/>
    </row>
    <row r="1019" spans="1:78" s="142" customFormat="1" ht="12.75" hidden="1" customHeight="1" thickBot="1">
      <c r="A1019" s="808"/>
      <c r="B1019" s="166"/>
      <c r="C1019" s="814" t="s">
        <v>197</v>
      </c>
      <c r="D1019" s="512" t="str">
        <f>Translations!$B$634</f>
        <v>(prelim.) ITF:</v>
      </c>
      <c r="E1019" s="513"/>
      <c r="F1019" s="527"/>
      <c r="G1019" s="1532" t="str">
        <f t="shared" ref="G1019:G1025" si="245">IF(OR(ISBLANK(F1019),F1019=EUconst_NoTier),"",IF(Z1019=0,EUconst_NotApplicable,IF(ISERROR(Z1019),"",Z1019)))</f>
        <v/>
      </c>
      <c r="H1019" s="1556"/>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3"/>
      <c r="Q1019" s="33"/>
      <c r="R1019" s="33"/>
      <c r="S1019" s="30"/>
      <c r="T1019" s="530" t="str">
        <f>EUconst_CNTR_EF&amp;E1008</f>
        <v>EF_</v>
      </c>
      <c r="U1019" s="497"/>
      <c r="V1019" s="531" t="str">
        <f>V1017</f>
        <v/>
      </c>
      <c r="W1019" s="30"/>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0"/>
      <c r="AC1019" s="535" t="b">
        <f>AND(AC1017,Y1019&lt;&gt;EUconst_NA)</f>
        <v>0</v>
      </c>
      <c r="AD1019" s="30"/>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0"/>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0"/>
      <c r="BA1019" s="30"/>
      <c r="BB1019" s="547" t="s">
        <v>594</v>
      </c>
      <c r="BC1019" s="546" t="str">
        <f>IF(K1007=BC1017,AR1017*IF(AJ1019=EUconst_tCO2pTJ,(AR1020/1000),1)*AR1019*AR1021*AR1025,"")</f>
        <v/>
      </c>
      <c r="BD1019" s="524" t="str">
        <f>IF(K1007=BD1017,AR1017*AR1019*AR1022*AR1025,"")</f>
        <v/>
      </c>
      <c r="BE1019" s="523"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1" t="b">
        <f>OR(BZ1017,Y1019=EUconst_NA)</f>
        <v>1</v>
      </c>
    </row>
    <row r="1020" spans="1:78" s="142" customFormat="1" ht="12.75" hidden="1" customHeight="1" thickBot="1">
      <c r="A1020" s="808"/>
      <c r="B1020" s="166"/>
      <c r="C1020" s="814" t="s">
        <v>198</v>
      </c>
      <c r="D1020" s="512" t="str">
        <f>Translations!$B$636</f>
        <v>GŠV:</v>
      </c>
      <c r="E1020" s="513"/>
      <c r="F1020" s="548"/>
      <c r="G1020" s="1532" t="str">
        <f t="shared" si="245"/>
        <v/>
      </c>
      <c r="H1020" s="1533"/>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3"/>
      <c r="Q1020" s="33"/>
      <c r="R1020" s="33"/>
      <c r="S1020" s="30"/>
      <c r="T1020" s="552" t="str">
        <f>EUconst_CNTR_NCV&amp;E1008</f>
        <v>NCV_</v>
      </c>
      <c r="U1020" s="497"/>
      <c r="V1020" s="553" t="str">
        <f t="shared" ref="V1020:V1025" si="251">V1019</f>
        <v/>
      </c>
      <c r="W1020" s="30"/>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0"/>
      <c r="AC1020" s="557" t="b">
        <f>AND(AC1017,Y1020&lt;&gt;EUconst_NA)</f>
        <v>0</v>
      </c>
      <c r="AD1020" s="30"/>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0"/>
      <c r="AV1020" s="567" t="b">
        <f t="shared" si="248"/>
        <v>0</v>
      </c>
      <c r="AW1020" s="568" t="b">
        <f t="shared" si="249"/>
        <v>0</v>
      </c>
      <c r="AX1020" s="30"/>
      <c r="AY1020" s="553" t="b">
        <f t="shared" si="250"/>
        <v>0</v>
      </c>
      <c r="AZ1020" s="30"/>
      <c r="BA1020" s="30"/>
      <c r="BB1020" s="547" t="s">
        <v>595</v>
      </c>
      <c r="BC1020" s="546" t="str">
        <f>IF(K1007=BC1017,AR1017*IF(AJ1019=EUconst_tCO2pTJ,(AR1020/1000),1)*AR1019*AR1021*AR1024,"")</f>
        <v/>
      </c>
      <c r="BD1020" s="524" t="str">
        <f>IF(K1007=BD1017,AR1017*AR1019*AR1022*AR1024,"")</f>
        <v/>
      </c>
      <c r="BE1020" s="523"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3" t="b">
        <f>OR(BZ1017,Y1020=EUconst_NA)</f>
        <v>1</v>
      </c>
    </row>
    <row r="1021" spans="1:78" s="142" customFormat="1" ht="12.75" hidden="1" customHeight="1" thickBot="1">
      <c r="A1021" s="808"/>
      <c r="B1021" s="166"/>
      <c r="C1021" s="814" t="s">
        <v>199</v>
      </c>
      <c r="D1021" s="512" t="str">
        <f>Translations!$B$638</f>
        <v>OksK:</v>
      </c>
      <c r="E1021" s="513"/>
      <c r="F1021" s="548"/>
      <c r="G1021" s="1532" t="str">
        <f t="shared" si="245"/>
        <v/>
      </c>
      <c r="H1021" s="1533"/>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3"/>
      <c r="Q1021" s="33"/>
      <c r="R1021" s="33"/>
      <c r="S1021" s="30"/>
      <c r="T1021" s="552" t="str">
        <f>EUconst_CNTR_OxidationFactor&amp;E1008</f>
        <v>OxF_</v>
      </c>
      <c r="U1021" s="497"/>
      <c r="V1021" s="553" t="str">
        <f t="shared" si="251"/>
        <v/>
      </c>
      <c r="W1021" s="30"/>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0"/>
      <c r="AC1021" s="557" t="b">
        <f>AND(AC1017,Y1021&lt;&gt;EUconst_NA)</f>
        <v>0</v>
      </c>
      <c r="AD1021" s="30"/>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0"/>
      <c r="AV1021" s="567" t="b">
        <f t="shared" si="248"/>
        <v>0</v>
      </c>
      <c r="AW1021" s="568" t="b">
        <f t="shared" si="249"/>
        <v>0</v>
      </c>
      <c r="AX1021" s="30"/>
      <c r="AY1021" s="594" t="b">
        <f t="shared" si="250"/>
        <v>0</v>
      </c>
      <c r="AZ1021" s="531" t="b">
        <f>AR1021&gt;100%</f>
        <v>0</v>
      </c>
      <c r="BA1021" s="30"/>
      <c r="BB1021" s="547" t="s">
        <v>290</v>
      </c>
      <c r="BC1021" s="546" t="str">
        <f>IF(K1007=BC1017,AR1017*IF(AJ1019=EUconst_tCO2pTJ,(AR1020/1000),1)*AR1019*AR1021*(1-AR1024),"")</f>
        <v/>
      </c>
      <c r="BD1021" s="524" t="str">
        <f>IF(K1007=BD1017,AR1017*AR1019*AR1022*(1-AR1024),"")</f>
        <v/>
      </c>
      <c r="BE1021" s="523"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3" t="b">
        <f>OR(BZ1017,Y1021=EUconst_NA)</f>
        <v>1</v>
      </c>
    </row>
    <row r="1022" spans="1:78" s="142" customFormat="1" ht="12.75" hidden="1" customHeight="1" thickBot="1">
      <c r="A1022" s="808"/>
      <c r="B1022" s="166"/>
      <c r="C1022" s="814" t="s">
        <v>200</v>
      </c>
      <c r="D1022" s="512" t="str">
        <f>Translations!$B$639</f>
        <v>KonvK:</v>
      </c>
      <c r="E1022" s="513"/>
      <c r="F1022" s="548"/>
      <c r="G1022" s="1532" t="str">
        <f t="shared" si="245"/>
        <v/>
      </c>
      <c r="H1022" s="1533"/>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3"/>
      <c r="Q1022" s="33"/>
      <c r="R1022" s="33"/>
      <c r="S1022" s="30"/>
      <c r="T1022" s="552" t="str">
        <f>EUconst_CNTR_ConversionFactor&amp;E1008</f>
        <v>ConvF_</v>
      </c>
      <c r="U1022" s="497"/>
      <c r="V1022" s="553" t="str">
        <f t="shared" si="251"/>
        <v/>
      </c>
      <c r="W1022" s="30"/>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0"/>
      <c r="AC1022" s="557" t="b">
        <f>AND(AC1017,Y1022&lt;&gt;EUconst_NA)</f>
        <v>0</v>
      </c>
      <c r="AD1022" s="30"/>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0"/>
      <c r="AV1022" s="567" t="b">
        <f t="shared" si="248"/>
        <v>0</v>
      </c>
      <c r="AW1022" s="568" t="b">
        <f t="shared" si="249"/>
        <v>0</v>
      </c>
      <c r="AX1022" s="30"/>
      <c r="AY1022" s="594" t="b">
        <f t="shared" si="250"/>
        <v>0</v>
      </c>
      <c r="AZ1022" s="580" t="b">
        <f>AR1022&gt;100%</f>
        <v>0</v>
      </c>
      <c r="BA1022" s="30"/>
      <c r="BB1022" s="578" t="s">
        <v>487</v>
      </c>
      <c r="BC1022" s="579">
        <f>AR1017*AR1020/1000*(1-AR1024)</f>
        <v>0</v>
      </c>
      <c r="BD1022" s="580">
        <f>BC1022</f>
        <v>0</v>
      </c>
      <c r="BE1022" s="581">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3" t="b">
        <f>OR(BZ1017,Y1022=EUconst_NA)</f>
        <v>1</v>
      </c>
    </row>
    <row r="1023" spans="1:78" s="142" customFormat="1" ht="12.75" hidden="1" customHeight="1" thickBot="1">
      <c r="A1023" s="808"/>
      <c r="B1023" s="166"/>
      <c r="C1023" s="814" t="s">
        <v>329</v>
      </c>
      <c r="D1023" s="512" t="str">
        <f>Translations!$B$640</f>
        <v>AnglK:</v>
      </c>
      <c r="E1023" s="513"/>
      <c r="F1023" s="548"/>
      <c r="G1023" s="1532" t="str">
        <f t="shared" si="245"/>
        <v/>
      </c>
      <c r="H1023" s="1533"/>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3"/>
      <c r="Q1023" s="33"/>
      <c r="R1023" s="33"/>
      <c r="S1023" s="30"/>
      <c r="T1023" s="552" t="str">
        <f>EUconst_CNTR_CarbonContent&amp;E1008</f>
        <v>CarbC_</v>
      </c>
      <c r="U1023" s="497"/>
      <c r="V1023" s="553" t="str">
        <f t="shared" si="251"/>
        <v/>
      </c>
      <c r="W1023" s="30"/>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0"/>
      <c r="AC1023" s="557" t="b">
        <f>AND(AC1017,Y1023&lt;&gt;EUconst_NA)</f>
        <v>0</v>
      </c>
      <c r="AD1023" s="30"/>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0"/>
      <c r="AV1023" s="567" t="b">
        <f t="shared" si="248"/>
        <v>0</v>
      </c>
      <c r="AW1023" s="568" t="b">
        <f t="shared" si="249"/>
        <v>0</v>
      </c>
      <c r="AX1023" s="546" t="b">
        <f>OR(AND(AJ1017=EUconst_kNm3,AJ1023=EUconst_tCpt),AND(AJ1017=EUconst_t,AJ1023=EUconst_tCpkNm3))</f>
        <v>0</v>
      </c>
      <c r="AY1023" s="553" t="b">
        <f t="shared" si="250"/>
        <v>0</v>
      </c>
      <c r="AZ1023" s="30"/>
      <c r="BA1023" s="30"/>
      <c r="BB1023" s="578" t="s">
        <v>488</v>
      </c>
      <c r="BC1023" s="579">
        <f>AR1017*AR1020/1000*AR1024</f>
        <v>0</v>
      </c>
      <c r="BD1023" s="580">
        <f>BC1023</f>
        <v>0</v>
      </c>
      <c r="BE1023" s="581">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3" t="b">
        <f>OR(BZ1017,Y1023=EUconst_NA)</f>
        <v>1</v>
      </c>
    </row>
    <row r="1024" spans="1:78" s="142" customFormat="1" ht="12.75" hidden="1" customHeight="1">
      <c r="A1024" s="808"/>
      <c r="B1024" s="166"/>
      <c r="C1024" s="777" t="s">
        <v>330</v>
      </c>
      <c r="D1024" s="512" t="str">
        <f>Translations!$B$641</f>
        <v>BioC:</v>
      </c>
      <c r="E1024" s="513"/>
      <c r="F1024" s="548"/>
      <c r="G1024" s="1532" t="str">
        <f t="shared" si="245"/>
        <v/>
      </c>
      <c r="H1024" s="1533"/>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0"/>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0"/>
      <c r="AC1024" s="557" t="b">
        <f>AND(AC1017,Y1024&lt;&gt;EUconst_NA)</f>
        <v>0</v>
      </c>
      <c r="AD1024" s="30"/>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0"/>
      <c r="AV1024" s="567" t="b">
        <f t="shared" si="248"/>
        <v>0</v>
      </c>
      <c r="AW1024" s="568" t="b">
        <f t="shared" si="249"/>
        <v>0</v>
      </c>
      <c r="AX1024" s="30"/>
      <c r="AY1024" s="594" t="b">
        <f t="shared" si="250"/>
        <v>0</v>
      </c>
      <c r="AZ1024" s="531"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3" t="b">
        <f>OR(BZ1017,Y1024=EUconst_NA)</f>
        <v>1</v>
      </c>
    </row>
    <row r="1025" spans="1:78" s="142" customFormat="1" ht="12.75" hidden="1" customHeight="1" thickBot="1">
      <c r="A1025" s="808"/>
      <c r="B1025" s="166"/>
      <c r="C1025" s="777" t="s">
        <v>454</v>
      </c>
      <c r="D1025" s="512" t="str">
        <f>Translations!$B$647</f>
        <v>Netvar. BioC:</v>
      </c>
      <c r="E1025" s="513"/>
      <c r="F1025" s="597"/>
      <c r="G1025" s="1532" t="str">
        <f t="shared" si="245"/>
        <v/>
      </c>
      <c r="H1025" s="1533"/>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0"/>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0"/>
      <c r="AC1025" s="603" t="b">
        <f>AND(AC1017,Y1025&lt;&gt;EUconst_NA)</f>
        <v>0</v>
      </c>
      <c r="AD1025" s="30"/>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0"/>
      <c r="AV1025" s="613" t="b">
        <f t="shared" si="248"/>
        <v>0</v>
      </c>
      <c r="AW1025" s="614" t="b">
        <f t="shared" si="249"/>
        <v>0</v>
      </c>
      <c r="AX1025" s="30"/>
      <c r="AY1025" s="579" t="b">
        <f t="shared" si="250"/>
        <v>0</v>
      </c>
      <c r="AZ1025" s="580"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80" t="b">
        <f>OR(BZ1017,Y1025=EUconst_NA)</f>
        <v>1</v>
      </c>
    </row>
    <row r="1026" spans="1:78" s="142" customFormat="1" ht="4.5" hidden="1" customHeight="1">
      <c r="A1026" s="808"/>
      <c r="B1026" s="166"/>
      <c r="C1026" s="166"/>
      <c r="D1026" s="180"/>
      <c r="O1026" s="733"/>
      <c r="P1026" s="33"/>
      <c r="Q1026" s="33"/>
      <c r="R1026" s="33"/>
      <c r="S1026" s="174"/>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hidden="1" customHeight="1">
      <c r="A1027" s="808"/>
      <c r="B1027" s="166"/>
      <c r="C1027" s="166"/>
      <c r="D1027" s="1558" t="str">
        <f>Translations!$B$674</f>
        <v>Pakopos galioja nuo:</v>
      </c>
      <c r="E1027" s="1558"/>
      <c r="F1027" s="1559"/>
      <c r="G1027" s="1052"/>
      <c r="H1027" s="615" t="str">
        <f>Translations!$B$675</f>
        <v>iki:</v>
      </c>
      <c r="I1027" s="1052"/>
      <c r="J1027" s="1536" t="str">
        <f>Translations!$B$676</f>
        <v>Atliekų katalogo numeris (jeigu taikytina):</v>
      </c>
      <c r="K1027" s="1537"/>
      <c r="L1027" s="1537"/>
      <c r="M1027" s="1538"/>
      <c r="N1027" s="1289"/>
      <c r="O1027" s="733"/>
      <c r="P1027" s="33"/>
      <c r="Q1027" s="33"/>
      <c r="R1027" s="33"/>
      <c r="S1027" s="1290"/>
      <c r="T1027" s="492"/>
      <c r="U1027" s="492"/>
      <c r="V1027" s="48" t="b">
        <f>IF(V1017="",FALSE,INDEX(CNTR_IsWaste,MATCH(V1017,MSParameters!$A$218:$A$376,0)))</f>
        <v>0</v>
      </c>
      <c r="W1027" s="1290"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4.5" hidden="1" customHeight="1">
      <c r="A1028" s="808"/>
      <c r="B1028" s="166"/>
      <c r="C1028" s="166"/>
      <c r="D1028" s="615"/>
      <c r="E1028" s="495"/>
      <c r="F1028" s="495"/>
      <c r="G1028" s="495"/>
      <c r="H1028" s="495"/>
      <c r="I1028" s="495"/>
      <c r="J1028" s="495"/>
      <c r="K1028" s="495"/>
      <c r="L1028" s="495"/>
      <c r="M1028" s="495"/>
      <c r="N1028" s="495"/>
      <c r="O1028" s="733"/>
      <c r="P1028" s="33"/>
      <c r="Q1028" s="33"/>
      <c r="R1028" s="33"/>
      <c r="S1028" s="174"/>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hidden="1" customHeight="1">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3"/>
      <c r="Q1029" s="33"/>
      <c r="R1029" s="33"/>
      <c r="S1029" s="174"/>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4.5" hidden="1" customHeight="1">
      <c r="A1030" s="815"/>
      <c r="D1030" s="180"/>
      <c r="O1030" s="573"/>
      <c r="P1030" s="497"/>
      <c r="Q1030" s="497"/>
      <c r="R1030" s="497"/>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hidden="1">
      <c r="A1031" s="815"/>
      <c r="D1031" s="1534" t="str">
        <f>Translations!$B$160</f>
        <v>Pastabos:</v>
      </c>
      <c r="E1031" s="1535"/>
      <c r="F1031" s="1539"/>
      <c r="G1031" s="1540"/>
      <c r="H1031" s="1540"/>
      <c r="I1031" s="1540"/>
      <c r="J1031" s="1540"/>
      <c r="K1031" s="1540"/>
      <c r="L1031" s="1540"/>
      <c r="M1031" s="1540"/>
      <c r="N1031" s="1541"/>
      <c r="O1031" s="573"/>
      <c r="P1031" s="497"/>
      <c r="Q1031" s="497"/>
      <c r="R1031" s="497"/>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8.25" hidden="1" customHeight="1" thickBot="1">
      <c r="A1032" s="808"/>
      <c r="B1032" s="495"/>
      <c r="C1032" s="499"/>
      <c r="D1032" s="500"/>
      <c r="E1032" s="501"/>
      <c r="F1032" s="499"/>
      <c r="G1032" s="502"/>
      <c r="H1032" s="502"/>
      <c r="I1032" s="502"/>
      <c r="J1032" s="502"/>
      <c r="K1032" s="502"/>
      <c r="L1032" s="502"/>
      <c r="M1032" s="502"/>
      <c r="N1032" s="502"/>
      <c r="O1032" s="740"/>
      <c r="P1032" s="494"/>
      <c r="Q1032" s="494"/>
      <c r="R1032" s="494"/>
      <c r="S1032" s="58"/>
      <c r="T1032" s="58"/>
      <c r="U1032" s="498"/>
      <c r="V1032" s="58"/>
      <c r="W1032" s="58"/>
      <c r="X1032" s="498"/>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c r="A1033" s="813"/>
      <c r="B1033" s="495"/>
      <c r="C1033" s="495"/>
      <c r="D1033" s="180"/>
      <c r="E1033" s="496"/>
      <c r="F1033" s="495"/>
      <c r="G1033" s="487"/>
      <c r="H1033" s="487"/>
      <c r="I1033" s="487"/>
      <c r="J1033" s="487"/>
      <c r="K1033" s="495"/>
      <c r="L1033" s="487"/>
      <c r="M1033" s="487"/>
      <c r="N1033" s="487"/>
      <c r="O1033" s="740"/>
      <c r="P1033" s="494"/>
      <c r="Q1033" s="494"/>
      <c r="R1033" s="494"/>
      <c r="S1033" s="23"/>
      <c r="T1033" s="27" t="str">
        <f>IF(ISBLANK(E1034),"",MATCH(E1034,CNTR_SourceStreamNames,0))</f>
        <v/>
      </c>
      <c r="U1033" s="618"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1"/>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3" t="s">
        <v>262</v>
      </c>
    </row>
    <row r="1034" spans="1:78" s="142" customFormat="1" ht="15" hidden="1" customHeight="1" thickBot="1">
      <c r="A1034" s="869" t="str">
        <f>IF(E1034="","","PRINT")</f>
        <v/>
      </c>
      <c r="B1034" s="166"/>
      <c r="C1034" s="617">
        <f>C1007+1</f>
        <v>37</v>
      </c>
      <c r="D1034" s="166"/>
      <c r="E1034" s="1542"/>
      <c r="F1034" s="1543"/>
      <c r="G1034" s="1543"/>
      <c r="H1034" s="1543"/>
      <c r="I1034" s="1543"/>
      <c r="J1034" s="1544"/>
      <c r="K1034" s="1545" t="str">
        <f>IF(E1035="","",INDEX(EUwideConstants!$F$353:$F$394,MATCH(E1035,EUConst_TierActivityListNames,0)))</f>
        <v/>
      </c>
      <c r="L1034" s="1546"/>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3"/>
      <c r="T1034" s="509" t="s">
        <v>393</v>
      </c>
      <c r="U1034" s="23"/>
      <c r="V1034" s="78"/>
      <c r="W1034" s="56"/>
      <c r="X1034" s="58"/>
      <c r="Y1034" s="58"/>
      <c r="Z1034" s="58"/>
      <c r="AA1034" s="58"/>
      <c r="AB1034" s="58"/>
      <c r="AC1034" s="58"/>
      <c r="AD1034" s="58"/>
      <c r="AE1034" s="58"/>
      <c r="AF1034" s="58"/>
      <c r="AG1034" s="58"/>
      <c r="AH1034" s="58"/>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6"/>
      <c r="BZ1034" s="619" t="b">
        <f>CNTR_CalcRelevant=EUconst_NotRelevant</f>
        <v>0</v>
      </c>
    </row>
    <row r="1035" spans="1:78" s="142" customFormat="1" ht="15" hidden="1" customHeight="1" thickBot="1">
      <c r="A1035" s="808"/>
      <c r="B1035" s="166"/>
      <c r="C1035" s="166"/>
      <c r="D1035" s="166"/>
      <c r="E1035" s="1547" t="str">
        <f>IF(ISBLANK(E1034),"",IF(INDEX(B_InstallationDescription!$E$71:$E$145,MATCH(U1033,B_InstallationDescription!$D$71:$D$145,0))&gt;0,INDEX(B_InstallationDescription!$E$71:$E$145,MATCH(U1033,B_InstallationDescription!$D$71:$D$145,0)),""))</f>
        <v/>
      </c>
      <c r="F1035" s="1548"/>
      <c r="G1035" s="1548"/>
      <c r="H1035" s="1548"/>
      <c r="I1035" s="1548"/>
      <c r="J1035" s="1549"/>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4"/>
      <c r="AH1035" s="30"/>
      <c r="AI1035" s="30"/>
      <c r="AJ1035" s="504"/>
      <c r="AK1035" s="504"/>
      <c r="AL1035" s="342"/>
      <c r="AM1035" s="27" t="s">
        <v>308</v>
      </c>
      <c r="AN1035" s="505"/>
      <c r="AO1035" s="505"/>
      <c r="AP1035" s="30"/>
      <c r="AQ1035" s="30"/>
      <c r="AR1035" s="30"/>
      <c r="AS1035" s="30"/>
      <c r="AT1035" s="30"/>
      <c r="AU1035" s="30"/>
      <c r="AV1035" s="27" t="s">
        <v>315</v>
      </c>
      <c r="AW1035" s="30"/>
      <c r="AX1035" s="492"/>
      <c r="AY1035" s="30"/>
      <c r="AZ1035" s="30"/>
      <c r="BA1035" s="30"/>
      <c r="BB1035" s="27" t="s">
        <v>219</v>
      </c>
      <c r="BC1035" s="30"/>
      <c r="BD1035" s="30"/>
      <c r="BE1035" s="30"/>
      <c r="BF1035" s="30"/>
      <c r="BG1035" s="27"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0"/>
      <c r="BZ1035" s="30"/>
    </row>
    <row r="1036" spans="1:78" s="142" customFormat="1" ht="5.0999999999999996" hidden="1" customHeight="1">
      <c r="A1036" s="808"/>
      <c r="B1036" s="166"/>
      <c r="C1036" s="166"/>
      <c r="D1036" s="166"/>
      <c r="E1036" s="166"/>
      <c r="F1036" s="166"/>
      <c r="G1036" s="166"/>
      <c r="M1036" s="143"/>
      <c r="N1036" s="143"/>
      <c r="O1036" s="733"/>
      <c r="P1036" s="33"/>
      <c r="Q1036" s="33"/>
      <c r="R1036" s="33"/>
      <c r="S1036" s="23"/>
      <c r="T1036" s="23"/>
      <c r="U1036" s="23"/>
      <c r="V1036" s="78"/>
      <c r="W1036" s="30"/>
      <c r="X1036" s="30"/>
      <c r="Y1036" s="494"/>
      <c r="Z1036" s="30"/>
      <c r="AA1036" s="30"/>
      <c r="AB1036" s="30"/>
      <c r="AC1036" s="30"/>
      <c r="AD1036" s="30"/>
      <c r="AE1036" s="30"/>
      <c r="AF1036" s="58"/>
      <c r="AG1036" s="30"/>
      <c r="AH1036" s="30"/>
      <c r="AI1036" s="30"/>
      <c r="AJ1036" s="504"/>
      <c r="AK1036" s="504"/>
      <c r="AL1036" s="342"/>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hidden="1" customHeight="1" thickBot="1">
      <c r="A1037" s="808"/>
      <c r="B1037" s="166"/>
      <c r="C1037" s="166"/>
      <c r="D1037" s="166"/>
      <c r="E1037" s="1550" t="str">
        <f>IF(E1034="","",IF(T1035=TRUE,HYPERLINK("#JUMP_14",EUconst_MsgGoOnPFC),HYPERLINK("#JUMP_E_8",EUconst_FurtherGuidancePoint1)))</f>
        <v/>
      </c>
      <c r="F1037" s="1550"/>
      <c r="G1037" s="1550"/>
      <c r="H1037" s="1550"/>
      <c r="I1037" s="1550"/>
      <c r="J1037" s="1550"/>
      <c r="K1037" s="1550"/>
      <c r="L1037" s="1550"/>
      <c r="M1037" s="1550"/>
      <c r="N1037" s="143"/>
      <c r="O1037" s="733"/>
      <c r="P1037" s="33"/>
      <c r="Q1037" s="352" t="str">
        <f>EUconst_SumNonSustBioCO2 &amp; "_" &amp; K1034</f>
        <v>SUM_bioNonSustCO2_</v>
      </c>
      <c r="R1037" s="707"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4"/>
      <c r="AK1037" s="504"/>
      <c r="AL1037" s="342"/>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hidden="1" customHeight="1">
      <c r="A1038" s="808"/>
      <c r="B1038" s="166"/>
      <c r="C1038" s="166"/>
      <c r="D1038" s="166"/>
      <c r="E1038" s="166"/>
      <c r="F1038" s="166"/>
      <c r="G1038" s="166"/>
      <c r="M1038" s="143"/>
      <c r="N1038" s="143"/>
      <c r="O1038" s="733"/>
      <c r="P1038" s="23"/>
      <c r="Q1038" s="23"/>
      <c r="R1038" s="23"/>
      <c r="S1038" s="23"/>
      <c r="T1038" s="23"/>
      <c r="U1038" s="23"/>
      <c r="V1038" s="30"/>
      <c r="W1038" s="30"/>
      <c r="X1038" s="30"/>
      <c r="Y1038" s="494"/>
      <c r="Z1038" s="30"/>
      <c r="AA1038" s="30"/>
      <c r="AB1038" s="30"/>
      <c r="AC1038" s="30"/>
      <c r="AD1038" s="30"/>
      <c r="AE1038" s="30"/>
      <c r="AF1038" s="58"/>
      <c r="AG1038" s="30"/>
      <c r="AH1038" s="30"/>
      <c r="AI1038" s="30"/>
      <c r="AJ1038" s="504"/>
      <c r="AK1038" s="504"/>
      <c r="AL1038" s="342"/>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hidden="1" customHeight="1" thickBot="1">
      <c r="A1039" s="808"/>
      <c r="B1039" s="166"/>
      <c r="C1039" s="814" t="s">
        <v>4</v>
      </c>
      <c r="D1039" s="512" t="str">
        <f>Translations!$B$622</f>
        <v>VD:</v>
      </c>
      <c r="E1039" s="1560" t="str">
        <f>Translations!$B$667</f>
        <v>Ar veiklos duomenys gaunami sudedant išmatuotus kiekius (t. y. ne atliekant nuolatinius matavimus)?</v>
      </c>
      <c r="F1039" s="1560"/>
      <c r="G1039" s="1560"/>
      <c r="H1039" s="1560"/>
      <c r="I1039" s="1560"/>
      <c r="J1039" s="1560"/>
      <c r="K1039" s="1560"/>
      <c r="L1039" s="1179"/>
      <c r="M1039" s="507"/>
      <c r="O1039" s="733"/>
      <c r="P1039" s="23"/>
      <c r="Q1039" s="23"/>
      <c r="R1039" s="23"/>
      <c r="S1039" s="23"/>
      <c r="T1039" s="23"/>
      <c r="U1039" s="23"/>
      <c r="V1039" s="30"/>
      <c r="W1039" s="30"/>
      <c r="X1039" s="30"/>
      <c r="Y1039" s="494"/>
      <c r="Z1039" s="30"/>
      <c r="AA1039" s="30"/>
      <c r="AB1039" s="30"/>
      <c r="AC1039" s="1172" t="b">
        <f>AND(E1034&lt;&gt;"",T1035&lt;&gt;TRUE)</f>
        <v>0</v>
      </c>
      <c r="AD1039" s="30"/>
      <c r="AE1039" s="30"/>
      <c r="AF1039" s="58"/>
      <c r="AG1039" s="30"/>
      <c r="AH1039" s="30"/>
      <c r="AI1039" s="30"/>
      <c r="AJ1039" s="504"/>
      <c r="AK1039" s="504"/>
      <c r="AL1039" s="342"/>
      <c r="AM1039" s="30"/>
      <c r="AN1039" s="30"/>
      <c r="AO1039" s="30"/>
      <c r="AP1039" s="30"/>
      <c r="AQ1039" s="30"/>
      <c r="AR1039" s="30"/>
      <c r="AS1039" s="30"/>
      <c r="AT1039" s="1172"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2" t="b">
        <f>OR(CNTR_CalcRelevant=EUconst_NotRelevant,AND(COUNTA(CNTR_ListRelevantSections)&gt;0,OR(T1035=TRUE,E1034="")))</f>
        <v>1</v>
      </c>
    </row>
    <row r="1040" spans="1:78" s="142" customFormat="1" ht="5.0999999999999996" hidden="1" customHeight="1">
      <c r="A1040" s="808"/>
      <c r="B1040" s="166"/>
      <c r="C1040" s="166"/>
      <c r="D1040" s="166"/>
      <c r="E1040" s="166"/>
      <c r="F1040" s="166"/>
      <c r="G1040" s="166"/>
      <c r="H1040" s="495"/>
      <c r="I1040" s="495"/>
      <c r="J1040" s="495"/>
      <c r="K1040" s="495"/>
      <c r="L1040" s="495"/>
      <c r="M1040" s="507"/>
      <c r="O1040" s="733"/>
      <c r="P1040" s="23"/>
      <c r="Q1040" s="23"/>
      <c r="R1040" s="23"/>
      <c r="S1040" s="23"/>
      <c r="T1040" s="23"/>
      <c r="U1040" s="23"/>
      <c r="V1040" s="30"/>
      <c r="W1040" s="30"/>
      <c r="X1040" s="30"/>
      <c r="Y1040" s="494"/>
      <c r="Z1040" s="30"/>
      <c r="AA1040" s="30"/>
      <c r="AB1040" s="30"/>
      <c r="AC1040" s="492"/>
      <c r="AD1040" s="30"/>
      <c r="AE1040" s="30"/>
      <c r="AF1040" s="58"/>
      <c r="AG1040" s="30"/>
      <c r="AH1040" s="30"/>
      <c r="AI1040" s="30"/>
      <c r="AJ1040" s="504"/>
      <c r="AK1040" s="504"/>
      <c r="AL1040" s="342"/>
      <c r="AM1040" s="30"/>
      <c r="AN1040" s="30"/>
      <c r="AO1040" s="30"/>
      <c r="AP1040" s="30"/>
      <c r="AQ1040" s="30"/>
      <c r="AR1040" s="30"/>
      <c r="AS1040" s="30"/>
      <c r="AT1040" s="492"/>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2"/>
    </row>
    <row r="1041" spans="1:78" s="142" customFormat="1" ht="12.75" hidden="1" customHeight="1" thickBot="1">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3"/>
      <c r="Q1041" s="23"/>
      <c r="R1041" s="23"/>
      <c r="S1041" s="23"/>
      <c r="T1041" s="23"/>
      <c r="U1041" s="23"/>
      <c r="V1041" s="30"/>
      <c r="W1041" s="30"/>
      <c r="X1041" s="30"/>
      <c r="Y1041" s="494"/>
      <c r="Z1041" s="30"/>
      <c r="AA1041" s="30"/>
      <c r="AB1041" s="30"/>
      <c r="AC1041" s="1172" t="b">
        <f>AC1039</f>
        <v>0</v>
      </c>
      <c r="AD1041" s="30"/>
      <c r="AE1041" s="30"/>
      <c r="AF1041" s="58"/>
      <c r="AG1041" s="30"/>
      <c r="AH1041" s="30"/>
      <c r="AI1041" s="30"/>
      <c r="AJ1041" s="504"/>
      <c r="AK1041" s="504"/>
      <c r="AL1041" s="342"/>
      <c r="AM1041" s="30"/>
      <c r="AN1041" s="30"/>
      <c r="AO1041" s="30"/>
      <c r="AP1041" s="30"/>
      <c r="AQ1041" s="30"/>
      <c r="AR1041" s="30"/>
      <c r="AS1041" s="30"/>
      <c r="AT1041" s="1172"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2" t="b">
        <f>OR(BZ1039,AND(NOT(ISBLANK(L1039)),L1039=FALSE))</f>
        <v>1</v>
      </c>
    </row>
    <row r="1042" spans="1:78" s="142" customFormat="1" ht="4.5" hidden="1" customHeight="1">
      <c r="A1042" s="808"/>
      <c r="B1042" s="166"/>
      <c r="C1042" s="166"/>
      <c r="D1042" s="166"/>
      <c r="E1042" s="166"/>
      <c r="F1042" s="166"/>
      <c r="G1042" s="166"/>
      <c r="M1042" s="143"/>
      <c r="N1042" s="143"/>
      <c r="O1042" s="733"/>
      <c r="P1042" s="23"/>
      <c r="Q1042" s="23"/>
      <c r="R1042" s="23"/>
      <c r="S1042" s="23"/>
      <c r="T1042" s="23"/>
      <c r="U1042" s="23"/>
      <c r="V1042" s="30"/>
      <c r="W1042" s="30"/>
      <c r="X1042" s="30"/>
      <c r="Y1042" s="494"/>
      <c r="Z1042" s="30"/>
      <c r="AA1042" s="30"/>
      <c r="AB1042" s="30"/>
      <c r="AC1042" s="30"/>
      <c r="AD1042" s="30"/>
      <c r="AE1042" s="30"/>
      <c r="AF1042" s="58"/>
      <c r="AG1042" s="30"/>
      <c r="AH1042" s="30"/>
      <c r="AI1042" s="30"/>
      <c r="AJ1042" s="504"/>
      <c r="AK1042" s="504"/>
      <c r="AL1042" s="342"/>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hidden="1" customHeight="1" thickBot="1">
      <c r="A1043" s="808"/>
      <c r="B1043" s="166"/>
      <c r="C1043" s="166"/>
      <c r="D1043" s="166"/>
      <c r="E1043" s="166"/>
      <c r="F1043" s="506" t="str">
        <f>Translations!$B$333</f>
        <v>Pakopa</v>
      </c>
      <c r="G1043" s="1557" t="str">
        <f>Translations!$B$672</f>
        <v>pakopos aprašas</v>
      </c>
      <c r="H1043" s="1557"/>
      <c r="I1043" s="1555" t="str">
        <f>Translations!$B$158</f>
        <v>Vienetas</v>
      </c>
      <c r="J1043" s="1555"/>
      <c r="K1043" s="1555" t="str">
        <f>Translations!$B$673</f>
        <v>Vertė</v>
      </c>
      <c r="L1043" s="1555"/>
      <c r="M1043" s="507" t="str">
        <f>Translations!$B$610</f>
        <v>klaida</v>
      </c>
      <c r="O1043" s="733"/>
      <c r="P1043" s="508"/>
      <c r="Q1043" s="352" t="str">
        <f>EUconst_SumEnergyIN &amp; "_" &amp; K1034</f>
        <v>SUM_EnergyIN_</v>
      </c>
      <c r="R1043" s="399" t="str">
        <f>IF(OR(K1034="",T1035)=TRUE,"",INDEX(BC1049:BE1049,MATCH(K1034,BC1044:BE1044,0)))</f>
        <v/>
      </c>
      <c r="S1043" s="30"/>
      <c r="T1043" s="489"/>
      <c r="U1043" s="30"/>
      <c r="V1043" s="509" t="s">
        <v>303</v>
      </c>
      <c r="W1043" s="30"/>
      <c r="X1043" s="30"/>
      <c r="Y1043" s="494" t="s">
        <v>566</v>
      </c>
      <c r="Z1043" s="494" t="s">
        <v>318</v>
      </c>
      <c r="AA1043" s="30"/>
      <c r="AB1043" s="30"/>
      <c r="AC1043" s="505" t="s">
        <v>309</v>
      </c>
      <c r="AD1043" s="30"/>
      <c r="AE1043" s="30"/>
      <c r="AF1043" s="492" t="s">
        <v>305</v>
      </c>
      <c r="AG1043" s="492" t="s">
        <v>306</v>
      </c>
      <c r="AH1043" s="494" t="s">
        <v>304</v>
      </c>
      <c r="AI1043" s="504" t="s">
        <v>307</v>
      </c>
      <c r="AJ1043" s="504" t="s">
        <v>567</v>
      </c>
      <c r="AK1043" s="510" t="s">
        <v>311</v>
      </c>
      <c r="AL1043" s="342"/>
      <c r="AM1043" s="30"/>
      <c r="AN1043" s="492" t="s">
        <v>305</v>
      </c>
      <c r="AO1043" s="492" t="s">
        <v>306</v>
      </c>
      <c r="AP1043" s="511" t="s">
        <v>310</v>
      </c>
      <c r="AQ1043" s="504" t="s">
        <v>569</v>
      </c>
      <c r="AR1043" s="504" t="s">
        <v>568</v>
      </c>
      <c r="AS1043" s="510" t="s">
        <v>609</v>
      </c>
      <c r="AT1043" s="510" t="s">
        <v>609</v>
      </c>
      <c r="AU1043" s="30"/>
      <c r="AV1043" s="492"/>
      <c r="AW1043" s="492"/>
      <c r="AX1043" s="492" t="s">
        <v>321</v>
      </c>
      <c r="AY1043" s="492"/>
      <c r="AZ1043" s="492"/>
      <c r="BA1043" s="492"/>
      <c r="BB1043" s="492"/>
      <c r="BC1043" s="492"/>
      <c r="BD1043" s="492"/>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3" t="s">
        <v>262</v>
      </c>
    </row>
    <row r="1044" spans="1:78" s="142" customFormat="1" ht="12.75" hidden="1" customHeight="1" thickBot="1">
      <c r="A1044" s="808"/>
      <c r="B1044" s="166"/>
      <c r="C1044" s="777" t="s">
        <v>196</v>
      </c>
      <c r="D1044" s="512" t="str">
        <f>Translations!$B$622</f>
        <v>VD:</v>
      </c>
      <c r="E1044" s="513"/>
      <c r="F1044" s="402"/>
      <c r="G1044" s="1532" t="str">
        <f>IF(OR(ISBLANK(F1044),F1044=EUconst_NoTier),"",IF(Z1044=0,EUconst_NA,IF(ISERROR(Z1044),"",Z1044)))</f>
        <v/>
      </c>
      <c r="H1044" s="1533"/>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0"/>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0"/>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0"/>
      <c r="AV1044" s="492" t="s">
        <v>314</v>
      </c>
      <c r="AW1044" s="492" t="s">
        <v>319</v>
      </c>
      <c r="AX1044" s="524"/>
      <c r="AY1044" s="30" t="s">
        <v>542</v>
      </c>
      <c r="AZ1044" s="30"/>
      <c r="BA1044" s="30"/>
      <c r="BB1044" s="504"/>
      <c r="BC1044" s="493" t="str">
        <f>EUconst_Fuel</f>
        <v>Degimas</v>
      </c>
      <c r="BD1044" s="493" t="str">
        <f>EUconst_ProcessCarbonate</f>
        <v>Proceso metu išsiskiriančios ŠESD</v>
      </c>
      <c r="BE1044" s="493"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4" t="b">
        <f>BZ1039</f>
        <v>1</v>
      </c>
    </row>
    <row r="1045" spans="1:78" s="142" customFormat="1" ht="4.5" hidden="1" customHeight="1">
      <c r="A1045" s="808"/>
      <c r="B1045" s="166"/>
      <c r="C1045" s="814"/>
      <c r="D1045" s="306"/>
      <c r="F1045" s="143"/>
      <c r="G1045" s="143"/>
      <c r="H1045" s="143" t="s">
        <v>236</v>
      </c>
      <c r="I1045" s="525"/>
      <c r="J1045" s="525"/>
      <c r="K1045" s="143"/>
      <c r="L1045" s="143"/>
      <c r="M1045" s="710"/>
      <c r="O1045" s="733"/>
      <c r="P1045" s="33"/>
      <c r="Q1045" s="33"/>
      <c r="R1045" s="33"/>
      <c r="S1045" s="30"/>
      <c r="T1045" s="155"/>
      <c r="U1045" s="497"/>
      <c r="V1045" s="30"/>
      <c r="W1045" s="30"/>
      <c r="X1045" s="497"/>
      <c r="Y1045" s="526"/>
      <c r="Z1045" s="30"/>
      <c r="AA1045" s="30"/>
      <c r="AB1045" s="30"/>
      <c r="AC1045" s="30"/>
      <c r="AD1045" s="30"/>
      <c r="AE1045" s="30"/>
      <c r="AF1045" s="30"/>
      <c r="AG1045" s="30"/>
      <c r="AH1045" s="30"/>
      <c r="AI1045" s="30"/>
      <c r="AJ1045" s="30"/>
      <c r="AK1045" s="30"/>
      <c r="AL1045" s="342"/>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3"/>
    </row>
    <row r="1046" spans="1:78" s="142" customFormat="1" ht="12.75" hidden="1" customHeight="1" thickBot="1">
      <c r="A1046" s="808"/>
      <c r="B1046" s="166"/>
      <c r="C1046" s="814" t="s">
        <v>197</v>
      </c>
      <c r="D1046" s="512" t="str">
        <f>Translations!$B$634</f>
        <v>(prelim.) ITF:</v>
      </c>
      <c r="E1046" s="513"/>
      <c r="F1046" s="527"/>
      <c r="G1046" s="1532" t="str">
        <f t="shared" ref="G1046:G1052" si="252">IF(OR(ISBLANK(F1046),F1046=EUconst_NoTier),"",IF(Z1046=0,EUconst_NotApplicable,IF(ISERROR(Z1046),"",Z1046)))</f>
        <v/>
      </c>
      <c r="H1046" s="1556"/>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3"/>
      <c r="Q1046" s="33"/>
      <c r="R1046" s="33"/>
      <c r="S1046" s="30"/>
      <c r="T1046" s="530" t="str">
        <f>EUconst_CNTR_EF&amp;E1035</f>
        <v>EF_</v>
      </c>
      <c r="U1046" s="497"/>
      <c r="V1046" s="531" t="str">
        <f>V1044</f>
        <v/>
      </c>
      <c r="W1046" s="30"/>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0"/>
      <c r="AC1046" s="535" t="b">
        <f>AND(AC1044,Y1046&lt;&gt;EUconst_NA)</f>
        <v>0</v>
      </c>
      <c r="AD1046" s="30"/>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0"/>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0"/>
      <c r="BA1046" s="30"/>
      <c r="BB1046" s="547" t="s">
        <v>594</v>
      </c>
      <c r="BC1046" s="546" t="str">
        <f>IF(K1034=BC1044,AR1044*IF(AJ1046=EUconst_tCO2pTJ,(AR1047/1000),1)*AR1046*AR1048*AR1052,"")</f>
        <v/>
      </c>
      <c r="BD1046" s="524" t="str">
        <f>IF(K1034=BD1044,AR1044*AR1046*AR1049*AR1052,"")</f>
        <v/>
      </c>
      <c r="BE1046" s="523"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1" t="b">
        <f>OR(BZ1044,Y1046=EUconst_NA)</f>
        <v>1</v>
      </c>
    </row>
    <row r="1047" spans="1:78" s="142" customFormat="1" ht="12.75" hidden="1" customHeight="1" thickBot="1">
      <c r="A1047" s="808"/>
      <c r="B1047" s="166"/>
      <c r="C1047" s="814" t="s">
        <v>198</v>
      </c>
      <c r="D1047" s="512" t="str">
        <f>Translations!$B$636</f>
        <v>GŠV:</v>
      </c>
      <c r="E1047" s="513"/>
      <c r="F1047" s="548"/>
      <c r="G1047" s="1532" t="str">
        <f t="shared" si="252"/>
        <v/>
      </c>
      <c r="H1047" s="1533"/>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3"/>
      <c r="Q1047" s="33"/>
      <c r="R1047" s="33"/>
      <c r="S1047" s="30"/>
      <c r="T1047" s="552" t="str">
        <f>EUconst_CNTR_NCV&amp;E1035</f>
        <v>NCV_</v>
      </c>
      <c r="U1047" s="497"/>
      <c r="V1047" s="553" t="str">
        <f t="shared" ref="V1047:V1052" si="258">V1046</f>
        <v/>
      </c>
      <c r="W1047" s="30"/>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0"/>
      <c r="AC1047" s="557" t="b">
        <f>AND(AC1044,Y1047&lt;&gt;EUconst_NA)</f>
        <v>0</v>
      </c>
      <c r="AD1047" s="30"/>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0"/>
      <c r="AV1047" s="567" t="b">
        <f t="shared" si="255"/>
        <v>0</v>
      </c>
      <c r="AW1047" s="568" t="b">
        <f t="shared" si="256"/>
        <v>0</v>
      </c>
      <c r="AX1047" s="30"/>
      <c r="AY1047" s="553" t="b">
        <f t="shared" si="257"/>
        <v>0</v>
      </c>
      <c r="AZ1047" s="30"/>
      <c r="BA1047" s="30"/>
      <c r="BB1047" s="547" t="s">
        <v>595</v>
      </c>
      <c r="BC1047" s="546" t="str">
        <f>IF(K1034=BC1044,AR1044*IF(AJ1046=EUconst_tCO2pTJ,(AR1047/1000),1)*AR1046*AR1048*AR1051,"")</f>
        <v/>
      </c>
      <c r="BD1047" s="524" t="str">
        <f>IF(K1034=BD1044,AR1044*AR1046*AR1049*AR1051,"")</f>
        <v/>
      </c>
      <c r="BE1047" s="523"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3" t="b">
        <f>OR(BZ1044,Y1047=EUconst_NA)</f>
        <v>1</v>
      </c>
    </row>
    <row r="1048" spans="1:78" s="142" customFormat="1" ht="12.75" hidden="1" customHeight="1" thickBot="1">
      <c r="A1048" s="808"/>
      <c r="B1048" s="166"/>
      <c r="C1048" s="814" t="s">
        <v>199</v>
      </c>
      <c r="D1048" s="512" t="str">
        <f>Translations!$B$638</f>
        <v>OksK:</v>
      </c>
      <c r="E1048" s="513"/>
      <c r="F1048" s="548"/>
      <c r="G1048" s="1532" t="str">
        <f t="shared" si="252"/>
        <v/>
      </c>
      <c r="H1048" s="1533"/>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3"/>
      <c r="Q1048" s="33"/>
      <c r="R1048" s="33"/>
      <c r="S1048" s="30"/>
      <c r="T1048" s="552" t="str">
        <f>EUconst_CNTR_OxidationFactor&amp;E1035</f>
        <v>OxF_</v>
      </c>
      <c r="U1048" s="497"/>
      <c r="V1048" s="553" t="str">
        <f t="shared" si="258"/>
        <v/>
      </c>
      <c r="W1048" s="30"/>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0"/>
      <c r="AC1048" s="557" t="b">
        <f>AND(AC1044,Y1048&lt;&gt;EUconst_NA)</f>
        <v>0</v>
      </c>
      <c r="AD1048" s="30"/>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0"/>
      <c r="AV1048" s="567" t="b">
        <f t="shared" si="255"/>
        <v>0</v>
      </c>
      <c r="AW1048" s="568" t="b">
        <f t="shared" si="256"/>
        <v>0</v>
      </c>
      <c r="AX1048" s="30"/>
      <c r="AY1048" s="594" t="b">
        <f t="shared" si="257"/>
        <v>0</v>
      </c>
      <c r="AZ1048" s="531" t="b">
        <f>AR1048&gt;100%</f>
        <v>0</v>
      </c>
      <c r="BA1048" s="30"/>
      <c r="BB1048" s="547" t="s">
        <v>290</v>
      </c>
      <c r="BC1048" s="546" t="str">
        <f>IF(K1034=BC1044,AR1044*IF(AJ1046=EUconst_tCO2pTJ,(AR1047/1000),1)*AR1046*AR1048*(1-AR1051),"")</f>
        <v/>
      </c>
      <c r="BD1048" s="524" t="str">
        <f>IF(K1034=BD1044,AR1044*AR1046*AR1049*(1-AR1051),"")</f>
        <v/>
      </c>
      <c r="BE1048" s="523"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3" t="b">
        <f>OR(BZ1044,Y1048=EUconst_NA)</f>
        <v>1</v>
      </c>
    </row>
    <row r="1049" spans="1:78" s="142" customFormat="1" ht="12.75" hidden="1" customHeight="1" thickBot="1">
      <c r="A1049" s="808"/>
      <c r="B1049" s="166"/>
      <c r="C1049" s="814" t="s">
        <v>200</v>
      </c>
      <c r="D1049" s="512" t="str">
        <f>Translations!$B$639</f>
        <v>KonvK:</v>
      </c>
      <c r="E1049" s="513"/>
      <c r="F1049" s="548"/>
      <c r="G1049" s="1532" t="str">
        <f t="shared" si="252"/>
        <v/>
      </c>
      <c r="H1049" s="1533"/>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3"/>
      <c r="Q1049" s="33"/>
      <c r="R1049" s="33"/>
      <c r="S1049" s="30"/>
      <c r="T1049" s="552" t="str">
        <f>EUconst_CNTR_ConversionFactor&amp;E1035</f>
        <v>ConvF_</v>
      </c>
      <c r="U1049" s="497"/>
      <c r="V1049" s="553" t="str">
        <f t="shared" si="258"/>
        <v/>
      </c>
      <c r="W1049" s="30"/>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0"/>
      <c r="AC1049" s="557" t="b">
        <f>AND(AC1044,Y1049&lt;&gt;EUconst_NA)</f>
        <v>0</v>
      </c>
      <c r="AD1049" s="30"/>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0"/>
      <c r="AV1049" s="567" t="b">
        <f t="shared" si="255"/>
        <v>0</v>
      </c>
      <c r="AW1049" s="568" t="b">
        <f t="shared" si="256"/>
        <v>0</v>
      </c>
      <c r="AX1049" s="30"/>
      <c r="AY1049" s="594" t="b">
        <f t="shared" si="257"/>
        <v>0</v>
      </c>
      <c r="AZ1049" s="580" t="b">
        <f>AR1049&gt;100%</f>
        <v>0</v>
      </c>
      <c r="BA1049" s="30"/>
      <c r="BB1049" s="578" t="s">
        <v>487</v>
      </c>
      <c r="BC1049" s="579">
        <f>AR1044*AR1047/1000*(1-AR1051)</f>
        <v>0</v>
      </c>
      <c r="BD1049" s="580">
        <f>BC1049</f>
        <v>0</v>
      </c>
      <c r="BE1049" s="581">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3" t="b">
        <f>OR(BZ1044,Y1049=EUconst_NA)</f>
        <v>1</v>
      </c>
    </row>
    <row r="1050" spans="1:78" s="142" customFormat="1" ht="12.75" hidden="1" customHeight="1" thickBot="1">
      <c r="A1050" s="808"/>
      <c r="B1050" s="166"/>
      <c r="C1050" s="814" t="s">
        <v>329</v>
      </c>
      <c r="D1050" s="512" t="str">
        <f>Translations!$B$640</f>
        <v>AnglK:</v>
      </c>
      <c r="E1050" s="513"/>
      <c r="F1050" s="548"/>
      <c r="G1050" s="1532" t="str">
        <f t="shared" si="252"/>
        <v/>
      </c>
      <c r="H1050" s="1533"/>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3"/>
      <c r="Q1050" s="33"/>
      <c r="R1050" s="33"/>
      <c r="S1050" s="30"/>
      <c r="T1050" s="552" t="str">
        <f>EUconst_CNTR_CarbonContent&amp;E1035</f>
        <v>CarbC_</v>
      </c>
      <c r="U1050" s="497"/>
      <c r="V1050" s="553" t="str">
        <f t="shared" si="258"/>
        <v/>
      </c>
      <c r="W1050" s="30"/>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0"/>
      <c r="AC1050" s="557" t="b">
        <f>AND(AC1044,Y1050&lt;&gt;EUconst_NA)</f>
        <v>0</v>
      </c>
      <c r="AD1050" s="30"/>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0"/>
      <c r="AV1050" s="567" t="b">
        <f t="shared" si="255"/>
        <v>0</v>
      </c>
      <c r="AW1050" s="568" t="b">
        <f t="shared" si="256"/>
        <v>0</v>
      </c>
      <c r="AX1050" s="546" t="b">
        <f>OR(AND(AJ1044=EUconst_kNm3,AJ1050=EUconst_tCpt),AND(AJ1044=EUconst_t,AJ1050=EUconst_tCpkNm3))</f>
        <v>0</v>
      </c>
      <c r="AY1050" s="553" t="b">
        <f t="shared" si="257"/>
        <v>0</v>
      </c>
      <c r="AZ1050" s="30"/>
      <c r="BA1050" s="30"/>
      <c r="BB1050" s="578" t="s">
        <v>488</v>
      </c>
      <c r="BC1050" s="579">
        <f>AR1044*AR1047/1000*AR1051</f>
        <v>0</v>
      </c>
      <c r="BD1050" s="580">
        <f>BC1050</f>
        <v>0</v>
      </c>
      <c r="BE1050" s="581">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3" t="b">
        <f>OR(BZ1044,Y1050=EUconst_NA)</f>
        <v>1</v>
      </c>
    </row>
    <row r="1051" spans="1:78" s="142" customFormat="1" ht="12.75" hidden="1" customHeight="1">
      <c r="A1051" s="808"/>
      <c r="B1051" s="166"/>
      <c r="C1051" s="777" t="s">
        <v>330</v>
      </c>
      <c r="D1051" s="512" t="str">
        <f>Translations!$B$641</f>
        <v>BioC:</v>
      </c>
      <c r="E1051" s="513"/>
      <c r="F1051" s="548"/>
      <c r="G1051" s="1532" t="str">
        <f t="shared" si="252"/>
        <v/>
      </c>
      <c r="H1051" s="1533"/>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0"/>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0"/>
      <c r="AC1051" s="557" t="b">
        <f>AND(AC1044,Y1051&lt;&gt;EUconst_NA)</f>
        <v>0</v>
      </c>
      <c r="AD1051" s="30"/>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0"/>
      <c r="AV1051" s="567" t="b">
        <f t="shared" si="255"/>
        <v>0</v>
      </c>
      <c r="AW1051" s="568" t="b">
        <f t="shared" si="256"/>
        <v>0</v>
      </c>
      <c r="AX1051" s="30"/>
      <c r="AY1051" s="594" t="b">
        <f t="shared" si="257"/>
        <v>0</v>
      </c>
      <c r="AZ1051" s="531"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3" t="b">
        <f>OR(BZ1044,Y1051=EUconst_NA)</f>
        <v>1</v>
      </c>
    </row>
    <row r="1052" spans="1:78" s="142" customFormat="1" ht="12.75" hidden="1" customHeight="1" thickBot="1">
      <c r="A1052" s="808"/>
      <c r="B1052" s="166"/>
      <c r="C1052" s="777" t="s">
        <v>454</v>
      </c>
      <c r="D1052" s="512" t="str">
        <f>Translations!$B$647</f>
        <v>Netvar. BioC:</v>
      </c>
      <c r="E1052" s="513"/>
      <c r="F1052" s="597"/>
      <c r="G1052" s="1532" t="str">
        <f t="shared" si="252"/>
        <v/>
      </c>
      <c r="H1052" s="1533"/>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0"/>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0"/>
      <c r="AC1052" s="603" t="b">
        <f>AND(AC1044,Y1052&lt;&gt;EUconst_NA)</f>
        <v>0</v>
      </c>
      <c r="AD1052" s="30"/>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0"/>
      <c r="AV1052" s="613" t="b">
        <f t="shared" si="255"/>
        <v>0</v>
      </c>
      <c r="AW1052" s="614" t="b">
        <f t="shared" si="256"/>
        <v>0</v>
      </c>
      <c r="AX1052" s="30"/>
      <c r="AY1052" s="579" t="b">
        <f t="shared" si="257"/>
        <v>0</v>
      </c>
      <c r="AZ1052" s="580"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80" t="b">
        <f>OR(BZ1044,Y1052=EUconst_NA)</f>
        <v>1</v>
      </c>
    </row>
    <row r="1053" spans="1:78" s="142" customFormat="1" ht="5.0999999999999996" hidden="1" customHeight="1">
      <c r="A1053" s="808"/>
      <c r="B1053" s="166"/>
      <c r="C1053" s="166"/>
      <c r="D1053" s="180"/>
      <c r="O1053" s="733"/>
      <c r="P1053" s="33"/>
      <c r="Q1053" s="33"/>
      <c r="R1053" s="33"/>
      <c r="S1053" s="174"/>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hidden="1" customHeight="1">
      <c r="A1054" s="808"/>
      <c r="B1054" s="166"/>
      <c r="C1054" s="166"/>
      <c r="D1054" s="1558" t="str">
        <f>Translations!$B$674</f>
        <v>Pakopos galioja nuo:</v>
      </c>
      <c r="E1054" s="1558"/>
      <c r="F1054" s="1559"/>
      <c r="G1054" s="1052"/>
      <c r="H1054" s="615" t="str">
        <f>Translations!$B$675</f>
        <v>iki:</v>
      </c>
      <c r="I1054" s="1052"/>
      <c r="J1054" s="1536" t="str">
        <f>Translations!$B$676</f>
        <v>Atliekų katalogo numeris (jeigu taikytina):</v>
      </c>
      <c r="K1054" s="1537"/>
      <c r="L1054" s="1537"/>
      <c r="M1054" s="1538"/>
      <c r="N1054" s="1289"/>
      <c r="O1054" s="733"/>
      <c r="P1054" s="33"/>
      <c r="Q1054" s="33"/>
      <c r="R1054" s="33"/>
      <c r="S1054" s="1290"/>
      <c r="T1054" s="492"/>
      <c r="U1054" s="492"/>
      <c r="V1054" s="48" t="b">
        <f>IF(V1044="",FALSE,INDEX(CNTR_IsWaste,MATCH(V1044,MSParameters!$A$218:$A$376,0)))</f>
        <v>0</v>
      </c>
      <c r="W1054" s="1290"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4.5" hidden="1" customHeight="1">
      <c r="A1055" s="808"/>
      <c r="B1055" s="166"/>
      <c r="C1055" s="166"/>
      <c r="D1055" s="615"/>
      <c r="E1055" s="495"/>
      <c r="F1055" s="495"/>
      <c r="G1055" s="495"/>
      <c r="H1055" s="495"/>
      <c r="I1055" s="495"/>
      <c r="J1055" s="495"/>
      <c r="K1055" s="495"/>
      <c r="L1055" s="495"/>
      <c r="M1055" s="495"/>
      <c r="N1055" s="495"/>
      <c r="O1055" s="733"/>
      <c r="P1055" s="33"/>
      <c r="Q1055" s="33"/>
      <c r="R1055" s="33"/>
      <c r="S1055" s="174"/>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hidden="1" customHeight="1">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3"/>
      <c r="Q1056" s="33"/>
      <c r="R1056" s="33"/>
      <c r="S1056" s="174"/>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hidden="1" customHeight="1">
      <c r="A1057" s="815"/>
      <c r="D1057" s="180"/>
      <c r="O1057" s="573"/>
      <c r="P1057" s="497"/>
      <c r="Q1057" s="497"/>
      <c r="R1057" s="497"/>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hidden="1">
      <c r="A1058" s="815"/>
      <c r="D1058" s="1534" t="str">
        <f>Translations!$B$160</f>
        <v>Pastabos:</v>
      </c>
      <c r="E1058" s="1535"/>
      <c r="F1058" s="1539"/>
      <c r="G1058" s="1540"/>
      <c r="H1058" s="1540"/>
      <c r="I1058" s="1540"/>
      <c r="J1058" s="1540"/>
      <c r="K1058" s="1540"/>
      <c r="L1058" s="1540"/>
      <c r="M1058" s="1540"/>
      <c r="N1058" s="1541"/>
      <c r="O1058" s="573"/>
      <c r="P1058" s="497"/>
      <c r="Q1058" s="497"/>
      <c r="R1058" s="497"/>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c r="A1059" s="808"/>
      <c r="B1059" s="495"/>
      <c r="C1059" s="499"/>
      <c r="D1059" s="500"/>
      <c r="E1059" s="501"/>
      <c r="F1059" s="499"/>
      <c r="G1059" s="502"/>
      <c r="H1059" s="502"/>
      <c r="I1059" s="502"/>
      <c r="J1059" s="502"/>
      <c r="K1059" s="502"/>
      <c r="L1059" s="502"/>
      <c r="M1059" s="502"/>
      <c r="N1059" s="502"/>
      <c r="O1059" s="740"/>
      <c r="P1059" s="494"/>
      <c r="Q1059" s="494"/>
      <c r="R1059" s="494"/>
      <c r="S1059" s="58"/>
      <c r="T1059" s="58"/>
      <c r="U1059" s="498"/>
      <c r="V1059" s="58"/>
      <c r="W1059" s="58"/>
      <c r="X1059" s="49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c r="A1060" s="813"/>
      <c r="B1060" s="495"/>
      <c r="C1060" s="495"/>
      <c r="D1060" s="180"/>
      <c r="E1060" s="496"/>
      <c r="F1060" s="495"/>
      <c r="G1060" s="487"/>
      <c r="H1060" s="487"/>
      <c r="I1060" s="487"/>
      <c r="J1060" s="487"/>
      <c r="K1060" s="495"/>
      <c r="L1060" s="487"/>
      <c r="M1060" s="487"/>
      <c r="N1060" s="487"/>
      <c r="O1060" s="740"/>
      <c r="P1060" s="494"/>
      <c r="Q1060" s="494"/>
      <c r="R1060" s="494"/>
      <c r="S1060" s="23"/>
      <c r="T1060" s="27" t="str">
        <f>IF(ISBLANK(E1061),"",MATCH(E1061,CNTR_SourceStreamNames,0))</f>
        <v/>
      </c>
      <c r="U1060" s="618"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1"/>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3" t="s">
        <v>262</v>
      </c>
    </row>
    <row r="1061" spans="1:78" s="142" customFormat="1" ht="15" hidden="1" customHeight="1" thickBot="1">
      <c r="A1061" s="869" t="str">
        <f>IF(E1061="","","PRINT")</f>
        <v/>
      </c>
      <c r="B1061" s="166"/>
      <c r="C1061" s="617">
        <f>C1034+1</f>
        <v>38</v>
      </c>
      <c r="D1061" s="166"/>
      <c r="E1061" s="1542"/>
      <c r="F1061" s="1543"/>
      <c r="G1061" s="1543"/>
      <c r="H1061" s="1543"/>
      <c r="I1061" s="1543"/>
      <c r="J1061" s="1544"/>
      <c r="K1061" s="1545" t="str">
        <f>IF(E1062="","",INDEX(EUwideConstants!$F$353:$F$394,MATCH(E1062,EUConst_TierActivityListNames,0)))</f>
        <v/>
      </c>
      <c r="L1061" s="1546"/>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3"/>
      <c r="T1061" s="509" t="s">
        <v>393</v>
      </c>
      <c r="U1061" s="23"/>
      <c r="V1061" s="78"/>
      <c r="W1061" s="56"/>
      <c r="X1061" s="58"/>
      <c r="Y1061" s="58"/>
      <c r="Z1061" s="58"/>
      <c r="AA1061" s="58"/>
      <c r="AB1061" s="58"/>
      <c r="AC1061" s="58"/>
      <c r="AD1061" s="58"/>
      <c r="AE1061" s="58"/>
      <c r="AF1061" s="58"/>
      <c r="AG1061" s="58"/>
      <c r="AH1061" s="58"/>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6"/>
      <c r="BZ1061" s="619" t="b">
        <f>CNTR_CalcRelevant=EUconst_NotRelevant</f>
        <v>0</v>
      </c>
    </row>
    <row r="1062" spans="1:78" s="142" customFormat="1" ht="15" hidden="1" customHeight="1" thickBot="1">
      <c r="A1062" s="808"/>
      <c r="B1062" s="166"/>
      <c r="C1062" s="166"/>
      <c r="D1062" s="166"/>
      <c r="E1062" s="1547" t="str">
        <f>IF(ISBLANK(E1061),"",IF(INDEX(B_InstallationDescription!$E$71:$E$145,MATCH(U1060,B_InstallationDescription!$D$71:$D$145,0))&gt;0,INDEX(B_InstallationDescription!$E$71:$E$145,MATCH(U1060,B_InstallationDescription!$D$71:$D$145,0)),""))</f>
        <v/>
      </c>
      <c r="F1062" s="1548"/>
      <c r="G1062" s="1548"/>
      <c r="H1062" s="1548"/>
      <c r="I1062" s="1548"/>
      <c r="J1062" s="1549"/>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4"/>
      <c r="AH1062" s="30"/>
      <c r="AI1062" s="30"/>
      <c r="AJ1062" s="504"/>
      <c r="AK1062" s="504"/>
      <c r="AL1062" s="342"/>
      <c r="AM1062" s="27" t="s">
        <v>308</v>
      </c>
      <c r="AN1062" s="505"/>
      <c r="AO1062" s="505"/>
      <c r="AP1062" s="30"/>
      <c r="AQ1062" s="30"/>
      <c r="AR1062" s="30"/>
      <c r="AS1062" s="30"/>
      <c r="AT1062" s="30"/>
      <c r="AU1062" s="30"/>
      <c r="AV1062" s="27" t="s">
        <v>315</v>
      </c>
      <c r="AW1062" s="30"/>
      <c r="AX1062" s="492"/>
      <c r="AY1062" s="30"/>
      <c r="AZ1062" s="30"/>
      <c r="BA1062" s="30"/>
      <c r="BB1062" s="27" t="s">
        <v>219</v>
      </c>
      <c r="BC1062" s="30"/>
      <c r="BD1062" s="30"/>
      <c r="BE1062" s="30"/>
      <c r="BF1062" s="30"/>
      <c r="BG1062" s="27"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0"/>
      <c r="BZ1062" s="30"/>
    </row>
    <row r="1063" spans="1:78" s="142" customFormat="1" ht="4.5" hidden="1" customHeight="1">
      <c r="A1063" s="808"/>
      <c r="B1063" s="166"/>
      <c r="C1063" s="166"/>
      <c r="D1063" s="166"/>
      <c r="E1063" s="166"/>
      <c r="F1063" s="166"/>
      <c r="G1063" s="166"/>
      <c r="M1063" s="143"/>
      <c r="N1063" s="143"/>
      <c r="O1063" s="733"/>
      <c r="P1063" s="33"/>
      <c r="Q1063" s="33"/>
      <c r="R1063" s="33"/>
      <c r="S1063" s="23"/>
      <c r="T1063" s="23"/>
      <c r="U1063" s="23"/>
      <c r="V1063" s="78"/>
      <c r="W1063" s="30"/>
      <c r="X1063" s="30"/>
      <c r="Y1063" s="494"/>
      <c r="Z1063" s="30"/>
      <c r="AA1063" s="30"/>
      <c r="AB1063" s="30"/>
      <c r="AC1063" s="30"/>
      <c r="AD1063" s="30"/>
      <c r="AE1063" s="30"/>
      <c r="AF1063" s="58"/>
      <c r="AG1063" s="30"/>
      <c r="AH1063" s="30"/>
      <c r="AI1063" s="30"/>
      <c r="AJ1063" s="504"/>
      <c r="AK1063" s="504"/>
      <c r="AL1063" s="342"/>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hidden="1" customHeight="1" thickBot="1">
      <c r="A1064" s="808"/>
      <c r="B1064" s="166"/>
      <c r="C1064" s="166"/>
      <c r="D1064" s="166"/>
      <c r="E1064" s="1550" t="str">
        <f>IF(E1061="","",IF(T1062=TRUE,HYPERLINK("#JUMP_14",EUconst_MsgGoOnPFC),HYPERLINK("#JUMP_E_8",EUconst_FurtherGuidancePoint1)))</f>
        <v/>
      </c>
      <c r="F1064" s="1550"/>
      <c r="G1064" s="1550"/>
      <c r="H1064" s="1550"/>
      <c r="I1064" s="1550"/>
      <c r="J1064" s="1550"/>
      <c r="K1064" s="1550"/>
      <c r="L1064" s="1550"/>
      <c r="M1064" s="1550"/>
      <c r="N1064" s="143"/>
      <c r="O1064" s="733"/>
      <c r="P1064" s="33"/>
      <c r="Q1064" s="352" t="str">
        <f>EUconst_SumNonSustBioCO2 &amp; "_" &amp; K1061</f>
        <v>SUM_bioNonSustCO2_</v>
      </c>
      <c r="R1064" s="707"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4"/>
      <c r="AK1064" s="504"/>
      <c r="AL1064" s="342"/>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hidden="1" customHeight="1">
      <c r="A1065" s="808"/>
      <c r="B1065" s="166"/>
      <c r="C1065" s="166"/>
      <c r="D1065" s="166"/>
      <c r="E1065" s="166"/>
      <c r="F1065" s="166"/>
      <c r="G1065" s="166"/>
      <c r="M1065" s="143"/>
      <c r="N1065" s="143"/>
      <c r="O1065" s="733"/>
      <c r="P1065" s="23"/>
      <c r="Q1065" s="23"/>
      <c r="R1065" s="23"/>
      <c r="S1065" s="23"/>
      <c r="T1065" s="23"/>
      <c r="U1065" s="23"/>
      <c r="V1065" s="30"/>
      <c r="W1065" s="30"/>
      <c r="X1065" s="30"/>
      <c r="Y1065" s="494"/>
      <c r="Z1065" s="30"/>
      <c r="AA1065" s="30"/>
      <c r="AB1065" s="30"/>
      <c r="AC1065" s="30"/>
      <c r="AD1065" s="30"/>
      <c r="AE1065" s="30"/>
      <c r="AF1065" s="58"/>
      <c r="AG1065" s="30"/>
      <c r="AH1065" s="30"/>
      <c r="AI1065" s="30"/>
      <c r="AJ1065" s="504"/>
      <c r="AK1065" s="504"/>
      <c r="AL1065" s="342"/>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hidden="1" customHeight="1" thickBot="1">
      <c r="A1066" s="808"/>
      <c r="B1066" s="166"/>
      <c r="C1066" s="814" t="s">
        <v>4</v>
      </c>
      <c r="D1066" s="512" t="str">
        <f>Translations!$B$622</f>
        <v>VD:</v>
      </c>
      <c r="E1066" s="1560" t="str">
        <f>Translations!$B$667</f>
        <v>Ar veiklos duomenys gaunami sudedant išmatuotus kiekius (t. y. ne atliekant nuolatinius matavimus)?</v>
      </c>
      <c r="F1066" s="1560"/>
      <c r="G1066" s="1560"/>
      <c r="H1066" s="1560"/>
      <c r="I1066" s="1560"/>
      <c r="J1066" s="1560"/>
      <c r="K1066" s="1560"/>
      <c r="L1066" s="1179"/>
      <c r="M1066" s="507"/>
      <c r="O1066" s="733"/>
      <c r="P1066" s="23"/>
      <c r="Q1066" s="23"/>
      <c r="R1066" s="23"/>
      <c r="S1066" s="23"/>
      <c r="T1066" s="23"/>
      <c r="U1066" s="23"/>
      <c r="V1066" s="30"/>
      <c r="W1066" s="30"/>
      <c r="X1066" s="30"/>
      <c r="Y1066" s="494"/>
      <c r="Z1066" s="30"/>
      <c r="AA1066" s="30"/>
      <c r="AB1066" s="30"/>
      <c r="AC1066" s="1172" t="b">
        <f>AND(E1061&lt;&gt;"",T1062&lt;&gt;TRUE)</f>
        <v>0</v>
      </c>
      <c r="AD1066" s="30"/>
      <c r="AE1066" s="30"/>
      <c r="AF1066" s="58"/>
      <c r="AG1066" s="30"/>
      <c r="AH1066" s="30"/>
      <c r="AI1066" s="30"/>
      <c r="AJ1066" s="504"/>
      <c r="AK1066" s="504"/>
      <c r="AL1066" s="342"/>
      <c r="AM1066" s="30"/>
      <c r="AN1066" s="30"/>
      <c r="AO1066" s="30"/>
      <c r="AP1066" s="30"/>
      <c r="AQ1066" s="30"/>
      <c r="AR1066" s="30"/>
      <c r="AS1066" s="30"/>
      <c r="AT1066" s="1172"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2" t="b">
        <f>OR(CNTR_CalcRelevant=EUconst_NotRelevant,AND(COUNTA(CNTR_ListRelevantSections)&gt;0,OR(T1062=TRUE,E1061="")))</f>
        <v>1</v>
      </c>
    </row>
    <row r="1067" spans="1:78" s="142" customFormat="1" ht="5.0999999999999996" hidden="1" customHeight="1">
      <c r="A1067" s="808"/>
      <c r="B1067" s="166"/>
      <c r="C1067" s="166"/>
      <c r="D1067" s="166"/>
      <c r="E1067" s="166"/>
      <c r="F1067" s="166"/>
      <c r="G1067" s="166"/>
      <c r="H1067" s="495"/>
      <c r="I1067" s="495"/>
      <c r="J1067" s="495"/>
      <c r="K1067" s="495"/>
      <c r="L1067" s="495"/>
      <c r="M1067" s="507"/>
      <c r="O1067" s="733"/>
      <c r="P1067" s="23"/>
      <c r="Q1067" s="23"/>
      <c r="R1067" s="23"/>
      <c r="S1067" s="23"/>
      <c r="T1067" s="23"/>
      <c r="U1067" s="23"/>
      <c r="V1067" s="30"/>
      <c r="W1067" s="30"/>
      <c r="X1067" s="30"/>
      <c r="Y1067" s="494"/>
      <c r="Z1067" s="30"/>
      <c r="AA1067" s="30"/>
      <c r="AB1067" s="30"/>
      <c r="AC1067" s="492"/>
      <c r="AD1067" s="30"/>
      <c r="AE1067" s="30"/>
      <c r="AF1067" s="58"/>
      <c r="AG1067" s="30"/>
      <c r="AH1067" s="30"/>
      <c r="AI1067" s="30"/>
      <c r="AJ1067" s="504"/>
      <c r="AK1067" s="504"/>
      <c r="AL1067" s="342"/>
      <c r="AM1067" s="30"/>
      <c r="AN1067" s="30"/>
      <c r="AO1067" s="30"/>
      <c r="AP1067" s="30"/>
      <c r="AQ1067" s="30"/>
      <c r="AR1067" s="30"/>
      <c r="AS1067" s="30"/>
      <c r="AT1067" s="492"/>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2"/>
    </row>
    <row r="1068" spans="1:78" s="142" customFormat="1" ht="12.75" hidden="1" customHeight="1" thickBot="1">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3"/>
      <c r="Q1068" s="23"/>
      <c r="R1068" s="23"/>
      <c r="S1068" s="23"/>
      <c r="T1068" s="23"/>
      <c r="U1068" s="23"/>
      <c r="V1068" s="30"/>
      <c r="W1068" s="30"/>
      <c r="X1068" s="30"/>
      <c r="Y1068" s="494"/>
      <c r="Z1068" s="30"/>
      <c r="AA1068" s="30"/>
      <c r="AB1068" s="30"/>
      <c r="AC1068" s="1172" t="b">
        <f>AC1066</f>
        <v>0</v>
      </c>
      <c r="AD1068" s="30"/>
      <c r="AE1068" s="30"/>
      <c r="AF1068" s="58"/>
      <c r="AG1068" s="30"/>
      <c r="AH1068" s="30"/>
      <c r="AI1068" s="30"/>
      <c r="AJ1068" s="504"/>
      <c r="AK1068" s="504"/>
      <c r="AL1068" s="342"/>
      <c r="AM1068" s="30"/>
      <c r="AN1068" s="30"/>
      <c r="AO1068" s="30"/>
      <c r="AP1068" s="30"/>
      <c r="AQ1068" s="30"/>
      <c r="AR1068" s="30"/>
      <c r="AS1068" s="30"/>
      <c r="AT1068" s="1172"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2" t="b">
        <f>OR(BZ1066,AND(NOT(ISBLANK(L1066)),L1066=FALSE))</f>
        <v>1</v>
      </c>
    </row>
    <row r="1069" spans="1:78" s="142" customFormat="1" ht="5.0999999999999996" hidden="1" customHeight="1">
      <c r="A1069" s="808"/>
      <c r="B1069" s="166"/>
      <c r="C1069" s="166"/>
      <c r="D1069" s="166"/>
      <c r="E1069" s="166"/>
      <c r="F1069" s="166"/>
      <c r="G1069" s="166"/>
      <c r="M1069" s="143"/>
      <c r="N1069" s="143"/>
      <c r="O1069" s="733"/>
      <c r="P1069" s="23"/>
      <c r="Q1069" s="23"/>
      <c r="R1069" s="23"/>
      <c r="S1069" s="23"/>
      <c r="T1069" s="23"/>
      <c r="U1069" s="23"/>
      <c r="V1069" s="30"/>
      <c r="W1069" s="30"/>
      <c r="X1069" s="30"/>
      <c r="Y1069" s="494"/>
      <c r="Z1069" s="30"/>
      <c r="AA1069" s="30"/>
      <c r="AB1069" s="30"/>
      <c r="AC1069" s="30"/>
      <c r="AD1069" s="30"/>
      <c r="AE1069" s="30"/>
      <c r="AF1069" s="58"/>
      <c r="AG1069" s="30"/>
      <c r="AH1069" s="30"/>
      <c r="AI1069" s="30"/>
      <c r="AJ1069" s="504"/>
      <c r="AK1069" s="504"/>
      <c r="AL1069" s="342"/>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hidden="1" customHeight="1" thickBot="1">
      <c r="A1070" s="808"/>
      <c r="B1070" s="166"/>
      <c r="C1070" s="166"/>
      <c r="D1070" s="166"/>
      <c r="E1070" s="166"/>
      <c r="F1070" s="506" t="str">
        <f>Translations!$B$333</f>
        <v>Pakopa</v>
      </c>
      <c r="G1070" s="1557" t="str">
        <f>Translations!$B$672</f>
        <v>pakopos aprašas</v>
      </c>
      <c r="H1070" s="1557"/>
      <c r="I1070" s="1555" t="str">
        <f>Translations!$B$158</f>
        <v>Vienetas</v>
      </c>
      <c r="J1070" s="1555"/>
      <c r="K1070" s="1555" t="str">
        <f>Translations!$B$673</f>
        <v>Vertė</v>
      </c>
      <c r="L1070" s="1555"/>
      <c r="M1070" s="507" t="str">
        <f>Translations!$B$610</f>
        <v>klaida</v>
      </c>
      <c r="O1070" s="733"/>
      <c r="P1070" s="508"/>
      <c r="Q1070" s="352" t="str">
        <f>EUconst_SumEnergyIN &amp; "_" &amp; K1061</f>
        <v>SUM_EnergyIN_</v>
      </c>
      <c r="R1070" s="399" t="str">
        <f>IF(OR(K1061="",T1062)=TRUE,"",INDEX(BC1076:BE1076,MATCH(K1061,BC1071:BE1071,0)))</f>
        <v/>
      </c>
      <c r="S1070" s="30"/>
      <c r="T1070" s="489"/>
      <c r="U1070" s="30"/>
      <c r="V1070" s="509" t="s">
        <v>303</v>
      </c>
      <c r="W1070" s="30"/>
      <c r="X1070" s="30"/>
      <c r="Y1070" s="494" t="s">
        <v>566</v>
      </c>
      <c r="Z1070" s="494" t="s">
        <v>318</v>
      </c>
      <c r="AA1070" s="30"/>
      <c r="AB1070" s="30"/>
      <c r="AC1070" s="505" t="s">
        <v>309</v>
      </c>
      <c r="AD1070" s="30"/>
      <c r="AE1070" s="30"/>
      <c r="AF1070" s="492" t="s">
        <v>305</v>
      </c>
      <c r="AG1070" s="492" t="s">
        <v>306</v>
      </c>
      <c r="AH1070" s="494" t="s">
        <v>304</v>
      </c>
      <c r="AI1070" s="504" t="s">
        <v>307</v>
      </c>
      <c r="AJ1070" s="504" t="s">
        <v>567</v>
      </c>
      <c r="AK1070" s="510" t="s">
        <v>311</v>
      </c>
      <c r="AL1070" s="342"/>
      <c r="AM1070" s="30"/>
      <c r="AN1070" s="492" t="s">
        <v>305</v>
      </c>
      <c r="AO1070" s="492" t="s">
        <v>306</v>
      </c>
      <c r="AP1070" s="511" t="s">
        <v>310</v>
      </c>
      <c r="AQ1070" s="504" t="s">
        <v>569</v>
      </c>
      <c r="AR1070" s="504" t="s">
        <v>568</v>
      </c>
      <c r="AS1070" s="510" t="s">
        <v>609</v>
      </c>
      <c r="AT1070" s="510" t="s">
        <v>609</v>
      </c>
      <c r="AU1070" s="30"/>
      <c r="AV1070" s="492"/>
      <c r="AW1070" s="492"/>
      <c r="AX1070" s="492" t="s">
        <v>321</v>
      </c>
      <c r="AY1070" s="492"/>
      <c r="AZ1070" s="492"/>
      <c r="BA1070" s="492"/>
      <c r="BB1070" s="492"/>
      <c r="BC1070" s="492"/>
      <c r="BD1070" s="492"/>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3" t="s">
        <v>262</v>
      </c>
    </row>
    <row r="1071" spans="1:78" s="142" customFormat="1" ht="12.75" hidden="1" customHeight="1" thickBot="1">
      <c r="A1071" s="808"/>
      <c r="B1071" s="166"/>
      <c r="C1071" s="777" t="s">
        <v>196</v>
      </c>
      <c r="D1071" s="512" t="str">
        <f>Translations!$B$622</f>
        <v>VD:</v>
      </c>
      <c r="E1071" s="513"/>
      <c r="F1071" s="402"/>
      <c r="G1071" s="1532" t="str">
        <f>IF(OR(ISBLANK(F1071),F1071=EUconst_NoTier),"",IF(Z1071=0,EUconst_NA,IF(ISERROR(Z1071),"",Z1071)))</f>
        <v/>
      </c>
      <c r="H1071" s="1533"/>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0"/>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0"/>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0"/>
      <c r="AV1071" s="492" t="s">
        <v>314</v>
      </c>
      <c r="AW1071" s="492" t="s">
        <v>319</v>
      </c>
      <c r="AX1071" s="524"/>
      <c r="AY1071" s="30" t="s">
        <v>542</v>
      </c>
      <c r="AZ1071" s="30"/>
      <c r="BA1071" s="30"/>
      <c r="BB1071" s="504"/>
      <c r="BC1071" s="493" t="str">
        <f>EUconst_Fuel</f>
        <v>Degimas</v>
      </c>
      <c r="BD1071" s="493" t="str">
        <f>EUconst_ProcessCarbonate</f>
        <v>Proceso metu išsiskiriančios ŠESD</v>
      </c>
      <c r="BE1071" s="493"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4" t="b">
        <f>BZ1066</f>
        <v>1</v>
      </c>
    </row>
    <row r="1072" spans="1:78" s="142" customFormat="1" ht="4.5" hidden="1" customHeight="1">
      <c r="A1072" s="808"/>
      <c r="B1072" s="166"/>
      <c r="C1072" s="814"/>
      <c r="D1072" s="306"/>
      <c r="F1072" s="143"/>
      <c r="G1072" s="143"/>
      <c r="H1072" s="143" t="s">
        <v>236</v>
      </c>
      <c r="I1072" s="525"/>
      <c r="J1072" s="525"/>
      <c r="K1072" s="143"/>
      <c r="L1072" s="143"/>
      <c r="M1072" s="710"/>
      <c r="O1072" s="733"/>
      <c r="P1072" s="33"/>
      <c r="Q1072" s="33"/>
      <c r="R1072" s="33"/>
      <c r="S1072" s="30"/>
      <c r="T1072" s="155"/>
      <c r="U1072" s="497"/>
      <c r="V1072" s="30"/>
      <c r="W1072" s="30"/>
      <c r="X1072" s="497"/>
      <c r="Y1072" s="526"/>
      <c r="Z1072" s="30"/>
      <c r="AA1072" s="30"/>
      <c r="AB1072" s="30"/>
      <c r="AC1072" s="30"/>
      <c r="AD1072" s="30"/>
      <c r="AE1072" s="30"/>
      <c r="AF1072" s="30"/>
      <c r="AG1072" s="30"/>
      <c r="AH1072" s="30"/>
      <c r="AI1072" s="30"/>
      <c r="AJ1072" s="30"/>
      <c r="AK1072" s="30"/>
      <c r="AL1072" s="342"/>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3"/>
    </row>
    <row r="1073" spans="1:78" s="142" customFormat="1" ht="12.75" hidden="1" customHeight="1" thickBot="1">
      <c r="A1073" s="808"/>
      <c r="B1073" s="166"/>
      <c r="C1073" s="814" t="s">
        <v>197</v>
      </c>
      <c r="D1073" s="512" t="str">
        <f>Translations!$B$634</f>
        <v>(prelim.) ITF:</v>
      </c>
      <c r="E1073" s="513"/>
      <c r="F1073" s="527"/>
      <c r="G1073" s="1532" t="str">
        <f t="shared" ref="G1073:G1079" si="259">IF(OR(ISBLANK(F1073),F1073=EUconst_NoTier),"",IF(Z1073=0,EUconst_NotApplicable,IF(ISERROR(Z1073),"",Z1073)))</f>
        <v/>
      </c>
      <c r="H1073" s="1556"/>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3"/>
      <c r="Q1073" s="33"/>
      <c r="R1073" s="33"/>
      <c r="S1073" s="30"/>
      <c r="T1073" s="530" t="str">
        <f>EUconst_CNTR_EF&amp;E1062</f>
        <v>EF_</v>
      </c>
      <c r="U1073" s="497"/>
      <c r="V1073" s="531" t="str">
        <f>V1071</f>
        <v/>
      </c>
      <c r="W1073" s="30"/>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0"/>
      <c r="AC1073" s="535" t="b">
        <f>AND(AC1071,Y1073&lt;&gt;EUconst_NA)</f>
        <v>0</v>
      </c>
      <c r="AD1073" s="30"/>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0"/>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0"/>
      <c r="BA1073" s="30"/>
      <c r="BB1073" s="547" t="s">
        <v>594</v>
      </c>
      <c r="BC1073" s="546" t="str">
        <f>IF(K1061=BC1071,AR1071*IF(AJ1073=EUconst_tCO2pTJ,(AR1074/1000),1)*AR1073*AR1075*AR1079,"")</f>
        <v/>
      </c>
      <c r="BD1073" s="524" t="str">
        <f>IF(K1061=BD1071,AR1071*AR1073*AR1076*AR1079,"")</f>
        <v/>
      </c>
      <c r="BE1073" s="523"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1" t="b">
        <f>OR(BZ1071,Y1073=EUconst_NA)</f>
        <v>1</v>
      </c>
    </row>
    <row r="1074" spans="1:78" s="142" customFormat="1" ht="12.75" hidden="1" customHeight="1" thickBot="1">
      <c r="A1074" s="808"/>
      <c r="B1074" s="166"/>
      <c r="C1074" s="814" t="s">
        <v>198</v>
      </c>
      <c r="D1074" s="512" t="str">
        <f>Translations!$B$636</f>
        <v>GŠV:</v>
      </c>
      <c r="E1074" s="513"/>
      <c r="F1074" s="548"/>
      <c r="G1074" s="1532" t="str">
        <f t="shared" si="259"/>
        <v/>
      </c>
      <c r="H1074" s="1533"/>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3"/>
      <c r="Q1074" s="33"/>
      <c r="R1074" s="33"/>
      <c r="S1074" s="30"/>
      <c r="T1074" s="552" t="str">
        <f>EUconst_CNTR_NCV&amp;E1062</f>
        <v>NCV_</v>
      </c>
      <c r="U1074" s="497"/>
      <c r="V1074" s="553" t="str">
        <f t="shared" ref="V1074:V1079" si="265">V1073</f>
        <v/>
      </c>
      <c r="W1074" s="30"/>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0"/>
      <c r="AC1074" s="557" t="b">
        <f>AND(AC1071,Y1074&lt;&gt;EUconst_NA)</f>
        <v>0</v>
      </c>
      <c r="AD1074" s="30"/>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0"/>
      <c r="AV1074" s="567" t="b">
        <f t="shared" si="262"/>
        <v>0</v>
      </c>
      <c r="AW1074" s="568" t="b">
        <f t="shared" si="263"/>
        <v>0</v>
      </c>
      <c r="AX1074" s="30"/>
      <c r="AY1074" s="553" t="b">
        <f t="shared" si="264"/>
        <v>0</v>
      </c>
      <c r="AZ1074" s="30"/>
      <c r="BA1074" s="30"/>
      <c r="BB1074" s="547" t="s">
        <v>595</v>
      </c>
      <c r="BC1074" s="546" t="str">
        <f>IF(K1061=BC1071,AR1071*IF(AJ1073=EUconst_tCO2pTJ,(AR1074/1000),1)*AR1073*AR1075*AR1078,"")</f>
        <v/>
      </c>
      <c r="BD1074" s="524" t="str">
        <f>IF(K1061=BD1071,AR1071*AR1073*AR1076*AR1078,"")</f>
        <v/>
      </c>
      <c r="BE1074" s="523"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3" t="b">
        <f>OR(BZ1071,Y1074=EUconst_NA)</f>
        <v>1</v>
      </c>
    </row>
    <row r="1075" spans="1:78" s="142" customFormat="1" ht="12.75" hidden="1" customHeight="1" thickBot="1">
      <c r="A1075" s="808"/>
      <c r="B1075" s="166"/>
      <c r="C1075" s="814" t="s">
        <v>199</v>
      </c>
      <c r="D1075" s="512" t="str">
        <f>Translations!$B$638</f>
        <v>OksK:</v>
      </c>
      <c r="E1075" s="513"/>
      <c r="F1075" s="548"/>
      <c r="G1075" s="1532" t="str">
        <f t="shared" si="259"/>
        <v/>
      </c>
      <c r="H1075" s="1533"/>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3"/>
      <c r="Q1075" s="33"/>
      <c r="R1075" s="33"/>
      <c r="S1075" s="30"/>
      <c r="T1075" s="552" t="str">
        <f>EUconst_CNTR_OxidationFactor&amp;E1062</f>
        <v>OxF_</v>
      </c>
      <c r="U1075" s="497"/>
      <c r="V1075" s="553" t="str">
        <f t="shared" si="265"/>
        <v/>
      </c>
      <c r="W1075" s="30"/>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0"/>
      <c r="AC1075" s="557" t="b">
        <f>AND(AC1071,Y1075&lt;&gt;EUconst_NA)</f>
        <v>0</v>
      </c>
      <c r="AD1075" s="30"/>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0"/>
      <c r="AV1075" s="567" t="b">
        <f t="shared" si="262"/>
        <v>0</v>
      </c>
      <c r="AW1075" s="568" t="b">
        <f t="shared" si="263"/>
        <v>0</v>
      </c>
      <c r="AX1075" s="30"/>
      <c r="AY1075" s="594" t="b">
        <f t="shared" si="264"/>
        <v>0</v>
      </c>
      <c r="AZ1075" s="531" t="b">
        <f>AR1075&gt;100%</f>
        <v>0</v>
      </c>
      <c r="BA1075" s="30"/>
      <c r="BB1075" s="547" t="s">
        <v>290</v>
      </c>
      <c r="BC1075" s="546" t="str">
        <f>IF(K1061=BC1071,AR1071*IF(AJ1073=EUconst_tCO2pTJ,(AR1074/1000),1)*AR1073*AR1075*(1-AR1078),"")</f>
        <v/>
      </c>
      <c r="BD1075" s="524" t="str">
        <f>IF(K1061=BD1071,AR1071*AR1073*AR1076*(1-AR1078),"")</f>
        <v/>
      </c>
      <c r="BE1075" s="523"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3" t="b">
        <f>OR(BZ1071,Y1075=EUconst_NA)</f>
        <v>1</v>
      </c>
    </row>
    <row r="1076" spans="1:78" s="142" customFormat="1" ht="4.5" hidden="1" customHeight="1" thickBot="1">
      <c r="A1076" s="808"/>
      <c r="B1076" s="166"/>
      <c r="C1076" s="814" t="s">
        <v>200</v>
      </c>
      <c r="D1076" s="512" t="str">
        <f>Translations!$B$639</f>
        <v>KonvK:</v>
      </c>
      <c r="E1076" s="513"/>
      <c r="F1076" s="548"/>
      <c r="G1076" s="1532" t="str">
        <f t="shared" si="259"/>
        <v/>
      </c>
      <c r="H1076" s="1533"/>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3"/>
      <c r="Q1076" s="33"/>
      <c r="R1076" s="33"/>
      <c r="S1076" s="30"/>
      <c r="T1076" s="552" t="str">
        <f>EUconst_CNTR_ConversionFactor&amp;E1062</f>
        <v>ConvF_</v>
      </c>
      <c r="U1076" s="497"/>
      <c r="V1076" s="553" t="str">
        <f t="shared" si="265"/>
        <v/>
      </c>
      <c r="W1076" s="30"/>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0"/>
      <c r="AC1076" s="557" t="b">
        <f>AND(AC1071,Y1076&lt;&gt;EUconst_NA)</f>
        <v>0</v>
      </c>
      <c r="AD1076" s="30"/>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0"/>
      <c r="AV1076" s="567" t="b">
        <f t="shared" si="262"/>
        <v>0</v>
      </c>
      <c r="AW1076" s="568" t="b">
        <f t="shared" si="263"/>
        <v>0</v>
      </c>
      <c r="AX1076" s="30"/>
      <c r="AY1076" s="594" t="b">
        <f t="shared" si="264"/>
        <v>0</v>
      </c>
      <c r="AZ1076" s="580" t="b">
        <f>AR1076&gt;100%</f>
        <v>0</v>
      </c>
      <c r="BA1076" s="30"/>
      <c r="BB1076" s="578" t="s">
        <v>487</v>
      </c>
      <c r="BC1076" s="579">
        <f>AR1071*AR1074/1000*(1-AR1078)</f>
        <v>0</v>
      </c>
      <c r="BD1076" s="580">
        <f>BC1076</f>
        <v>0</v>
      </c>
      <c r="BE1076" s="581">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3" t="b">
        <f>OR(BZ1071,Y1076=EUconst_NA)</f>
        <v>1</v>
      </c>
    </row>
    <row r="1077" spans="1:78" s="142" customFormat="1" ht="12.75" hidden="1" customHeight="1" thickBot="1">
      <c r="A1077" s="808"/>
      <c r="B1077" s="166"/>
      <c r="C1077" s="814" t="s">
        <v>329</v>
      </c>
      <c r="D1077" s="512" t="str">
        <f>Translations!$B$640</f>
        <v>AnglK:</v>
      </c>
      <c r="E1077" s="513"/>
      <c r="F1077" s="548"/>
      <c r="G1077" s="1532" t="str">
        <f t="shared" si="259"/>
        <v/>
      </c>
      <c r="H1077" s="1533"/>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3"/>
      <c r="Q1077" s="33"/>
      <c r="R1077" s="33"/>
      <c r="S1077" s="30"/>
      <c r="T1077" s="552" t="str">
        <f>EUconst_CNTR_CarbonContent&amp;E1062</f>
        <v>CarbC_</v>
      </c>
      <c r="U1077" s="497"/>
      <c r="V1077" s="553" t="str">
        <f t="shared" si="265"/>
        <v/>
      </c>
      <c r="W1077" s="30"/>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0"/>
      <c r="AC1077" s="557" t="b">
        <f>AND(AC1071,Y1077&lt;&gt;EUconst_NA)</f>
        <v>0</v>
      </c>
      <c r="AD1077" s="30"/>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0"/>
      <c r="AV1077" s="567" t="b">
        <f t="shared" si="262"/>
        <v>0</v>
      </c>
      <c r="AW1077" s="568" t="b">
        <f t="shared" si="263"/>
        <v>0</v>
      </c>
      <c r="AX1077" s="546" t="b">
        <f>OR(AND(AJ1071=EUconst_kNm3,AJ1077=EUconst_tCpt),AND(AJ1071=EUconst_t,AJ1077=EUconst_tCpkNm3))</f>
        <v>0</v>
      </c>
      <c r="AY1077" s="553" t="b">
        <f t="shared" si="264"/>
        <v>0</v>
      </c>
      <c r="AZ1077" s="30"/>
      <c r="BA1077" s="30"/>
      <c r="BB1077" s="578" t="s">
        <v>488</v>
      </c>
      <c r="BC1077" s="579">
        <f>AR1071*AR1074/1000*AR1078</f>
        <v>0</v>
      </c>
      <c r="BD1077" s="580">
        <f>BC1077</f>
        <v>0</v>
      </c>
      <c r="BE1077" s="581">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3" t="b">
        <f>OR(BZ1071,Y1077=EUconst_NA)</f>
        <v>1</v>
      </c>
    </row>
    <row r="1078" spans="1:78" s="142" customFormat="1" ht="12.75" hidden="1" customHeight="1">
      <c r="A1078" s="808"/>
      <c r="B1078" s="166"/>
      <c r="C1078" s="777" t="s">
        <v>330</v>
      </c>
      <c r="D1078" s="512" t="str">
        <f>Translations!$B$641</f>
        <v>BioC:</v>
      </c>
      <c r="E1078" s="513"/>
      <c r="F1078" s="548"/>
      <c r="G1078" s="1532" t="str">
        <f t="shared" si="259"/>
        <v/>
      </c>
      <c r="H1078" s="1533"/>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0"/>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0"/>
      <c r="AC1078" s="557" t="b">
        <f>AND(AC1071,Y1078&lt;&gt;EUconst_NA)</f>
        <v>0</v>
      </c>
      <c r="AD1078" s="30"/>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0"/>
      <c r="AV1078" s="567" t="b">
        <f t="shared" si="262"/>
        <v>0</v>
      </c>
      <c r="AW1078" s="568" t="b">
        <f t="shared" si="263"/>
        <v>0</v>
      </c>
      <c r="AX1078" s="30"/>
      <c r="AY1078" s="594" t="b">
        <f t="shared" si="264"/>
        <v>0</v>
      </c>
      <c r="AZ1078" s="531"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3" t="b">
        <f>OR(BZ1071,Y1078=EUconst_NA)</f>
        <v>1</v>
      </c>
    </row>
    <row r="1079" spans="1:78" s="142" customFormat="1" ht="12.75" hidden="1" customHeight="1" thickBot="1">
      <c r="A1079" s="808"/>
      <c r="B1079" s="166"/>
      <c r="C1079" s="777" t="s">
        <v>454</v>
      </c>
      <c r="D1079" s="512" t="str">
        <f>Translations!$B$647</f>
        <v>Netvar. BioC:</v>
      </c>
      <c r="E1079" s="513"/>
      <c r="F1079" s="597"/>
      <c r="G1079" s="1532" t="str">
        <f t="shared" si="259"/>
        <v/>
      </c>
      <c r="H1079" s="1533"/>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0"/>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0"/>
      <c r="AC1079" s="603" t="b">
        <f>AND(AC1071,Y1079&lt;&gt;EUconst_NA)</f>
        <v>0</v>
      </c>
      <c r="AD1079" s="30"/>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0"/>
      <c r="AV1079" s="613" t="b">
        <f t="shared" si="262"/>
        <v>0</v>
      </c>
      <c r="AW1079" s="614" t="b">
        <f t="shared" si="263"/>
        <v>0</v>
      </c>
      <c r="AX1079" s="30"/>
      <c r="AY1079" s="579" t="b">
        <f t="shared" si="264"/>
        <v>0</v>
      </c>
      <c r="AZ1079" s="580"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80" t="b">
        <f>OR(BZ1071,Y1079=EUconst_NA)</f>
        <v>1</v>
      </c>
    </row>
    <row r="1080" spans="1:78" s="142" customFormat="1" ht="4.5" hidden="1" customHeight="1">
      <c r="A1080" s="808"/>
      <c r="B1080" s="166"/>
      <c r="C1080" s="166"/>
      <c r="D1080" s="180"/>
      <c r="O1080" s="733"/>
      <c r="P1080" s="33"/>
      <c r="Q1080" s="33"/>
      <c r="R1080" s="33"/>
      <c r="S1080" s="174"/>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hidden="1" customHeight="1">
      <c r="A1081" s="808"/>
      <c r="B1081" s="166"/>
      <c r="C1081" s="166"/>
      <c r="D1081" s="1558" t="str">
        <f>Translations!$B$674</f>
        <v>Pakopos galioja nuo:</v>
      </c>
      <c r="E1081" s="1558"/>
      <c r="F1081" s="1559"/>
      <c r="G1081" s="1052"/>
      <c r="H1081" s="615" t="str">
        <f>Translations!$B$675</f>
        <v>iki:</v>
      </c>
      <c r="I1081" s="1052"/>
      <c r="J1081" s="1536" t="str">
        <f>Translations!$B$676</f>
        <v>Atliekų katalogo numeris (jeigu taikytina):</v>
      </c>
      <c r="K1081" s="1537"/>
      <c r="L1081" s="1537"/>
      <c r="M1081" s="1538"/>
      <c r="N1081" s="1289"/>
      <c r="O1081" s="733"/>
      <c r="P1081" s="33"/>
      <c r="Q1081" s="33"/>
      <c r="R1081" s="33"/>
      <c r="S1081" s="1290"/>
      <c r="T1081" s="492"/>
      <c r="U1081" s="492"/>
      <c r="V1081" s="48" t="b">
        <f>IF(V1071="",FALSE,INDEX(CNTR_IsWaste,MATCH(V1071,MSParameters!$A$218:$A$376,0)))</f>
        <v>0</v>
      </c>
      <c r="W1081" s="1290"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4.5" hidden="1" customHeight="1">
      <c r="A1082" s="808"/>
      <c r="B1082" s="166"/>
      <c r="C1082" s="166"/>
      <c r="D1082" s="615"/>
      <c r="E1082" s="495"/>
      <c r="F1082" s="495"/>
      <c r="G1082" s="495"/>
      <c r="H1082" s="495"/>
      <c r="I1082" s="495"/>
      <c r="J1082" s="495"/>
      <c r="K1082" s="495"/>
      <c r="L1082" s="495"/>
      <c r="M1082" s="495"/>
      <c r="N1082" s="495"/>
      <c r="O1082" s="733"/>
      <c r="P1082" s="33"/>
      <c r="Q1082" s="33"/>
      <c r="R1082" s="33"/>
      <c r="S1082" s="174"/>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hidden="1" customHeight="1">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3"/>
      <c r="Q1083" s="33"/>
      <c r="R1083" s="33"/>
      <c r="S1083" s="174"/>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hidden="1" customHeight="1">
      <c r="A1084" s="815"/>
      <c r="D1084" s="180"/>
      <c r="O1084" s="573"/>
      <c r="P1084" s="497"/>
      <c r="Q1084" s="497"/>
      <c r="R1084" s="497"/>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hidden="1">
      <c r="A1085" s="815"/>
      <c r="D1085" s="1534" t="str">
        <f>Translations!$B$160</f>
        <v>Pastabos:</v>
      </c>
      <c r="E1085" s="1535"/>
      <c r="F1085" s="1539"/>
      <c r="G1085" s="1540"/>
      <c r="H1085" s="1540"/>
      <c r="I1085" s="1540"/>
      <c r="J1085" s="1540"/>
      <c r="K1085" s="1540"/>
      <c r="L1085" s="1540"/>
      <c r="M1085" s="1540"/>
      <c r="N1085" s="1541"/>
      <c r="O1085" s="573"/>
      <c r="P1085" s="497"/>
      <c r="Q1085" s="497"/>
      <c r="R1085" s="497"/>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c r="A1086" s="808"/>
      <c r="B1086" s="495"/>
      <c r="C1086" s="499"/>
      <c r="D1086" s="500"/>
      <c r="E1086" s="501"/>
      <c r="F1086" s="499"/>
      <c r="G1086" s="502"/>
      <c r="H1086" s="502"/>
      <c r="I1086" s="502"/>
      <c r="J1086" s="502"/>
      <c r="K1086" s="502"/>
      <c r="L1086" s="502"/>
      <c r="M1086" s="502"/>
      <c r="N1086" s="502"/>
      <c r="O1086" s="740"/>
      <c r="P1086" s="494"/>
      <c r="Q1086" s="494"/>
      <c r="R1086" s="494"/>
      <c r="S1086" s="58"/>
      <c r="T1086" s="58"/>
      <c r="U1086" s="498"/>
      <c r="V1086" s="58"/>
      <c r="W1086" s="58"/>
      <c r="X1086" s="498"/>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c r="A1087" s="813"/>
      <c r="B1087" s="495"/>
      <c r="C1087" s="495"/>
      <c r="D1087" s="180"/>
      <c r="E1087" s="496"/>
      <c r="F1087" s="495"/>
      <c r="G1087" s="487"/>
      <c r="H1087" s="487"/>
      <c r="I1087" s="487"/>
      <c r="J1087" s="487"/>
      <c r="K1087" s="495"/>
      <c r="L1087" s="487"/>
      <c r="M1087" s="487"/>
      <c r="N1087" s="487"/>
      <c r="O1087" s="740"/>
      <c r="P1087" s="494"/>
      <c r="Q1087" s="494"/>
      <c r="R1087" s="494"/>
      <c r="S1087" s="23"/>
      <c r="T1087" s="27" t="str">
        <f>IF(ISBLANK(E1088),"",MATCH(E1088,CNTR_SourceStreamNames,0))</f>
        <v/>
      </c>
      <c r="U1087" s="618"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1"/>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3" t="s">
        <v>262</v>
      </c>
    </row>
    <row r="1088" spans="1:78" s="142" customFormat="1" ht="15" hidden="1" customHeight="1" thickBot="1">
      <c r="A1088" s="869" t="str">
        <f>IF(E1088="","","PRINT")</f>
        <v/>
      </c>
      <c r="B1088" s="166"/>
      <c r="C1088" s="617">
        <f>C1061+1</f>
        <v>39</v>
      </c>
      <c r="D1088" s="166"/>
      <c r="E1088" s="1542"/>
      <c r="F1088" s="1543"/>
      <c r="G1088" s="1543"/>
      <c r="H1088" s="1543"/>
      <c r="I1088" s="1543"/>
      <c r="J1088" s="1544"/>
      <c r="K1088" s="1545" t="str">
        <f>IF(E1089="","",INDEX(EUwideConstants!$F$353:$F$394,MATCH(E1089,EUConst_TierActivityListNames,0)))</f>
        <v/>
      </c>
      <c r="L1088" s="1546"/>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3"/>
      <c r="T1088" s="509" t="s">
        <v>393</v>
      </c>
      <c r="U1088" s="23"/>
      <c r="V1088" s="78"/>
      <c r="W1088" s="56"/>
      <c r="X1088" s="58"/>
      <c r="Y1088" s="58"/>
      <c r="Z1088" s="58"/>
      <c r="AA1088" s="58"/>
      <c r="AB1088" s="58"/>
      <c r="AC1088" s="58"/>
      <c r="AD1088" s="58"/>
      <c r="AE1088" s="58"/>
      <c r="AF1088" s="58"/>
      <c r="AG1088" s="58"/>
      <c r="AH1088" s="58"/>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6"/>
      <c r="BZ1088" s="619" t="b">
        <f>CNTR_CalcRelevant=EUconst_NotRelevant</f>
        <v>0</v>
      </c>
    </row>
    <row r="1089" spans="1:78" s="142" customFormat="1" ht="15" hidden="1" customHeight="1" thickBot="1">
      <c r="A1089" s="808"/>
      <c r="B1089" s="166"/>
      <c r="C1089" s="166"/>
      <c r="D1089" s="166"/>
      <c r="E1089" s="1547" t="str">
        <f>IF(ISBLANK(E1088),"",IF(INDEX(B_InstallationDescription!$E$71:$E$145,MATCH(U1087,B_InstallationDescription!$D$71:$D$145,0))&gt;0,INDEX(B_InstallationDescription!$E$71:$E$145,MATCH(U1087,B_InstallationDescription!$D$71:$D$145,0)),""))</f>
        <v/>
      </c>
      <c r="F1089" s="1548"/>
      <c r="G1089" s="1548"/>
      <c r="H1089" s="1548"/>
      <c r="I1089" s="1548"/>
      <c r="J1089" s="1549"/>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4"/>
      <c r="AH1089" s="30"/>
      <c r="AI1089" s="30"/>
      <c r="AJ1089" s="504"/>
      <c r="AK1089" s="504"/>
      <c r="AL1089" s="342"/>
      <c r="AM1089" s="27" t="s">
        <v>308</v>
      </c>
      <c r="AN1089" s="505"/>
      <c r="AO1089" s="505"/>
      <c r="AP1089" s="30"/>
      <c r="AQ1089" s="30"/>
      <c r="AR1089" s="30"/>
      <c r="AS1089" s="30"/>
      <c r="AT1089" s="30"/>
      <c r="AU1089" s="30"/>
      <c r="AV1089" s="27" t="s">
        <v>315</v>
      </c>
      <c r="AW1089" s="30"/>
      <c r="AX1089" s="492"/>
      <c r="AY1089" s="30"/>
      <c r="AZ1089" s="30"/>
      <c r="BA1089" s="30"/>
      <c r="BB1089" s="27" t="s">
        <v>219</v>
      </c>
      <c r="BC1089" s="30"/>
      <c r="BD1089" s="30"/>
      <c r="BE1089" s="30"/>
      <c r="BF1089" s="30"/>
      <c r="BG1089" s="27"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0"/>
      <c r="BZ1089" s="30"/>
    </row>
    <row r="1090" spans="1:78" s="142" customFormat="1" ht="5.0999999999999996" hidden="1" customHeight="1">
      <c r="A1090" s="808"/>
      <c r="B1090" s="166"/>
      <c r="C1090" s="166"/>
      <c r="D1090" s="166"/>
      <c r="E1090" s="166"/>
      <c r="F1090" s="166"/>
      <c r="G1090" s="166"/>
      <c r="M1090" s="143"/>
      <c r="N1090" s="143"/>
      <c r="O1090" s="733"/>
      <c r="P1090" s="33"/>
      <c r="Q1090" s="33"/>
      <c r="R1090" s="33"/>
      <c r="S1090" s="23"/>
      <c r="T1090" s="23"/>
      <c r="U1090" s="23"/>
      <c r="V1090" s="78"/>
      <c r="W1090" s="30"/>
      <c r="X1090" s="30"/>
      <c r="Y1090" s="494"/>
      <c r="Z1090" s="30"/>
      <c r="AA1090" s="30"/>
      <c r="AB1090" s="30"/>
      <c r="AC1090" s="30"/>
      <c r="AD1090" s="30"/>
      <c r="AE1090" s="30"/>
      <c r="AF1090" s="58"/>
      <c r="AG1090" s="30"/>
      <c r="AH1090" s="30"/>
      <c r="AI1090" s="30"/>
      <c r="AJ1090" s="504"/>
      <c r="AK1090" s="504"/>
      <c r="AL1090" s="342"/>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hidden="1" customHeight="1" thickBot="1">
      <c r="A1091" s="808"/>
      <c r="B1091" s="166"/>
      <c r="C1091" s="166"/>
      <c r="D1091" s="166"/>
      <c r="E1091" s="1550" t="str">
        <f>IF(E1088="","",IF(T1089=TRUE,HYPERLINK("#JUMP_14",EUconst_MsgGoOnPFC),HYPERLINK("#JUMP_E_8",EUconst_FurtherGuidancePoint1)))</f>
        <v/>
      </c>
      <c r="F1091" s="1550"/>
      <c r="G1091" s="1550"/>
      <c r="H1091" s="1550"/>
      <c r="I1091" s="1550"/>
      <c r="J1091" s="1550"/>
      <c r="K1091" s="1550"/>
      <c r="L1091" s="1550"/>
      <c r="M1091" s="1550"/>
      <c r="N1091" s="143"/>
      <c r="O1091" s="733"/>
      <c r="P1091" s="33"/>
      <c r="Q1091" s="352" t="str">
        <f>EUconst_SumNonSustBioCO2 &amp; "_" &amp; K1088</f>
        <v>SUM_bioNonSustCO2_</v>
      </c>
      <c r="R1091" s="707"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4"/>
      <c r="AK1091" s="504"/>
      <c r="AL1091" s="342"/>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hidden="1" customHeight="1">
      <c r="A1092" s="808"/>
      <c r="B1092" s="166"/>
      <c r="C1092" s="166"/>
      <c r="D1092" s="166"/>
      <c r="E1092" s="166"/>
      <c r="F1092" s="166"/>
      <c r="G1092" s="166"/>
      <c r="M1092" s="143"/>
      <c r="N1092" s="143"/>
      <c r="O1092" s="733"/>
      <c r="P1092" s="23"/>
      <c r="Q1092" s="23"/>
      <c r="R1092" s="23"/>
      <c r="S1092" s="23"/>
      <c r="T1092" s="23"/>
      <c r="U1092" s="23"/>
      <c r="V1092" s="30"/>
      <c r="W1092" s="30"/>
      <c r="X1092" s="30"/>
      <c r="Y1092" s="494"/>
      <c r="Z1092" s="30"/>
      <c r="AA1092" s="30"/>
      <c r="AB1092" s="30"/>
      <c r="AC1092" s="30"/>
      <c r="AD1092" s="30"/>
      <c r="AE1092" s="30"/>
      <c r="AF1092" s="58"/>
      <c r="AG1092" s="30"/>
      <c r="AH1092" s="30"/>
      <c r="AI1092" s="30"/>
      <c r="AJ1092" s="504"/>
      <c r="AK1092" s="504"/>
      <c r="AL1092" s="342"/>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hidden="1" customHeight="1" thickBot="1">
      <c r="A1093" s="808"/>
      <c r="B1093" s="166"/>
      <c r="C1093" s="814" t="s">
        <v>4</v>
      </c>
      <c r="D1093" s="512" t="str">
        <f>Translations!$B$622</f>
        <v>VD:</v>
      </c>
      <c r="E1093" s="1560" t="str">
        <f>Translations!$B$667</f>
        <v>Ar veiklos duomenys gaunami sudedant išmatuotus kiekius (t. y. ne atliekant nuolatinius matavimus)?</v>
      </c>
      <c r="F1093" s="1560"/>
      <c r="G1093" s="1560"/>
      <c r="H1093" s="1560"/>
      <c r="I1093" s="1560"/>
      <c r="J1093" s="1560"/>
      <c r="K1093" s="1560"/>
      <c r="L1093" s="1179"/>
      <c r="M1093" s="507"/>
      <c r="O1093" s="733"/>
      <c r="P1093" s="23"/>
      <c r="Q1093" s="23"/>
      <c r="R1093" s="23"/>
      <c r="S1093" s="23"/>
      <c r="T1093" s="23"/>
      <c r="U1093" s="23"/>
      <c r="V1093" s="30"/>
      <c r="W1093" s="30"/>
      <c r="X1093" s="30"/>
      <c r="Y1093" s="494"/>
      <c r="Z1093" s="30"/>
      <c r="AA1093" s="30"/>
      <c r="AB1093" s="30"/>
      <c r="AC1093" s="1172" t="b">
        <f>AND(E1088&lt;&gt;"",T1089&lt;&gt;TRUE)</f>
        <v>0</v>
      </c>
      <c r="AD1093" s="30"/>
      <c r="AE1093" s="30"/>
      <c r="AF1093" s="58"/>
      <c r="AG1093" s="30"/>
      <c r="AH1093" s="30"/>
      <c r="AI1093" s="30"/>
      <c r="AJ1093" s="504"/>
      <c r="AK1093" s="504"/>
      <c r="AL1093" s="342"/>
      <c r="AM1093" s="30"/>
      <c r="AN1093" s="30"/>
      <c r="AO1093" s="30"/>
      <c r="AP1093" s="30"/>
      <c r="AQ1093" s="30"/>
      <c r="AR1093" s="30"/>
      <c r="AS1093" s="30"/>
      <c r="AT1093" s="1172"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2" t="b">
        <f>OR(CNTR_CalcRelevant=EUconst_NotRelevant,AND(COUNTA(CNTR_ListRelevantSections)&gt;0,OR(T1089=TRUE,E1088="")))</f>
        <v>1</v>
      </c>
    </row>
    <row r="1094" spans="1:78" s="142" customFormat="1" ht="5.0999999999999996" hidden="1" customHeight="1">
      <c r="A1094" s="808"/>
      <c r="B1094" s="166"/>
      <c r="C1094" s="166"/>
      <c r="D1094" s="166"/>
      <c r="E1094" s="166"/>
      <c r="F1094" s="166"/>
      <c r="G1094" s="166"/>
      <c r="H1094" s="495"/>
      <c r="I1094" s="495"/>
      <c r="J1094" s="495"/>
      <c r="K1094" s="495"/>
      <c r="L1094" s="495"/>
      <c r="M1094" s="507"/>
      <c r="O1094" s="733"/>
      <c r="P1094" s="23"/>
      <c r="Q1094" s="23"/>
      <c r="R1094" s="23"/>
      <c r="S1094" s="23"/>
      <c r="T1094" s="23"/>
      <c r="U1094" s="23"/>
      <c r="V1094" s="30"/>
      <c r="W1094" s="30"/>
      <c r="X1094" s="30"/>
      <c r="Y1094" s="494"/>
      <c r="Z1094" s="30"/>
      <c r="AA1094" s="30"/>
      <c r="AB1094" s="30"/>
      <c r="AC1094" s="492"/>
      <c r="AD1094" s="30"/>
      <c r="AE1094" s="30"/>
      <c r="AF1094" s="58"/>
      <c r="AG1094" s="30"/>
      <c r="AH1094" s="30"/>
      <c r="AI1094" s="30"/>
      <c r="AJ1094" s="504"/>
      <c r="AK1094" s="504"/>
      <c r="AL1094" s="342"/>
      <c r="AM1094" s="30"/>
      <c r="AN1094" s="30"/>
      <c r="AO1094" s="30"/>
      <c r="AP1094" s="30"/>
      <c r="AQ1094" s="30"/>
      <c r="AR1094" s="30"/>
      <c r="AS1094" s="30"/>
      <c r="AT1094" s="492"/>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2"/>
    </row>
    <row r="1095" spans="1:78" s="142" customFormat="1" ht="12.75" hidden="1" customHeight="1" thickBot="1">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3"/>
      <c r="Q1095" s="23"/>
      <c r="R1095" s="23"/>
      <c r="S1095" s="23"/>
      <c r="T1095" s="23"/>
      <c r="U1095" s="23"/>
      <c r="V1095" s="30"/>
      <c r="W1095" s="30"/>
      <c r="X1095" s="30"/>
      <c r="Y1095" s="494"/>
      <c r="Z1095" s="30"/>
      <c r="AA1095" s="30"/>
      <c r="AB1095" s="30"/>
      <c r="AC1095" s="1172" t="b">
        <f>AC1093</f>
        <v>0</v>
      </c>
      <c r="AD1095" s="30"/>
      <c r="AE1095" s="30"/>
      <c r="AF1095" s="58"/>
      <c r="AG1095" s="30"/>
      <c r="AH1095" s="30"/>
      <c r="AI1095" s="30"/>
      <c r="AJ1095" s="504"/>
      <c r="AK1095" s="504"/>
      <c r="AL1095" s="342"/>
      <c r="AM1095" s="30"/>
      <c r="AN1095" s="30"/>
      <c r="AO1095" s="30"/>
      <c r="AP1095" s="30"/>
      <c r="AQ1095" s="30"/>
      <c r="AR1095" s="30"/>
      <c r="AS1095" s="30"/>
      <c r="AT1095" s="1172"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2" t="b">
        <f>OR(BZ1093,AND(NOT(ISBLANK(L1093)),L1093=FALSE))</f>
        <v>1</v>
      </c>
    </row>
    <row r="1096" spans="1:78" s="142" customFormat="1" ht="5.0999999999999996" hidden="1" customHeight="1">
      <c r="A1096" s="808"/>
      <c r="B1096" s="166"/>
      <c r="C1096" s="166"/>
      <c r="D1096" s="166"/>
      <c r="E1096" s="166"/>
      <c r="F1096" s="166"/>
      <c r="G1096" s="166"/>
      <c r="M1096" s="143"/>
      <c r="N1096" s="143"/>
      <c r="O1096" s="733"/>
      <c r="P1096" s="23"/>
      <c r="Q1096" s="23"/>
      <c r="R1096" s="23"/>
      <c r="S1096" s="23"/>
      <c r="T1096" s="23"/>
      <c r="U1096" s="23"/>
      <c r="V1096" s="30"/>
      <c r="W1096" s="30"/>
      <c r="X1096" s="30"/>
      <c r="Y1096" s="494"/>
      <c r="Z1096" s="30"/>
      <c r="AA1096" s="30"/>
      <c r="AB1096" s="30"/>
      <c r="AC1096" s="30"/>
      <c r="AD1096" s="30"/>
      <c r="AE1096" s="30"/>
      <c r="AF1096" s="58"/>
      <c r="AG1096" s="30"/>
      <c r="AH1096" s="30"/>
      <c r="AI1096" s="30"/>
      <c r="AJ1096" s="504"/>
      <c r="AK1096" s="504"/>
      <c r="AL1096" s="342"/>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hidden="1" customHeight="1" thickBot="1">
      <c r="A1097" s="808"/>
      <c r="B1097" s="166"/>
      <c r="C1097" s="166"/>
      <c r="D1097" s="166"/>
      <c r="E1097" s="166"/>
      <c r="F1097" s="506" t="str">
        <f>Translations!$B$333</f>
        <v>Pakopa</v>
      </c>
      <c r="G1097" s="1557" t="str">
        <f>Translations!$B$672</f>
        <v>pakopos aprašas</v>
      </c>
      <c r="H1097" s="1557"/>
      <c r="I1097" s="1555" t="str">
        <f>Translations!$B$158</f>
        <v>Vienetas</v>
      </c>
      <c r="J1097" s="1555"/>
      <c r="K1097" s="1555" t="str">
        <f>Translations!$B$673</f>
        <v>Vertė</v>
      </c>
      <c r="L1097" s="1555"/>
      <c r="M1097" s="507" t="str">
        <f>Translations!$B$610</f>
        <v>klaida</v>
      </c>
      <c r="O1097" s="733"/>
      <c r="P1097" s="508"/>
      <c r="Q1097" s="352" t="str">
        <f>EUconst_SumEnergyIN &amp; "_" &amp; K1088</f>
        <v>SUM_EnergyIN_</v>
      </c>
      <c r="R1097" s="399" t="str">
        <f>IF(OR(K1088="",T1089)=TRUE,"",INDEX(BC1103:BE1103,MATCH(K1088,BC1098:BE1098,0)))</f>
        <v/>
      </c>
      <c r="S1097" s="30"/>
      <c r="T1097" s="489"/>
      <c r="U1097" s="30"/>
      <c r="V1097" s="509" t="s">
        <v>303</v>
      </c>
      <c r="W1097" s="30"/>
      <c r="X1097" s="30"/>
      <c r="Y1097" s="494" t="s">
        <v>566</v>
      </c>
      <c r="Z1097" s="494" t="s">
        <v>318</v>
      </c>
      <c r="AA1097" s="30"/>
      <c r="AB1097" s="30"/>
      <c r="AC1097" s="505" t="s">
        <v>309</v>
      </c>
      <c r="AD1097" s="30"/>
      <c r="AE1097" s="30"/>
      <c r="AF1097" s="492" t="s">
        <v>305</v>
      </c>
      <c r="AG1097" s="492" t="s">
        <v>306</v>
      </c>
      <c r="AH1097" s="494" t="s">
        <v>304</v>
      </c>
      <c r="AI1097" s="504" t="s">
        <v>307</v>
      </c>
      <c r="AJ1097" s="504" t="s">
        <v>567</v>
      </c>
      <c r="AK1097" s="510" t="s">
        <v>311</v>
      </c>
      <c r="AL1097" s="342"/>
      <c r="AM1097" s="30"/>
      <c r="AN1097" s="492" t="s">
        <v>305</v>
      </c>
      <c r="AO1097" s="492" t="s">
        <v>306</v>
      </c>
      <c r="AP1097" s="511" t="s">
        <v>310</v>
      </c>
      <c r="AQ1097" s="504" t="s">
        <v>569</v>
      </c>
      <c r="AR1097" s="504" t="s">
        <v>568</v>
      </c>
      <c r="AS1097" s="510" t="s">
        <v>609</v>
      </c>
      <c r="AT1097" s="510" t="s">
        <v>609</v>
      </c>
      <c r="AU1097" s="30"/>
      <c r="AV1097" s="492"/>
      <c r="AW1097" s="492"/>
      <c r="AX1097" s="492" t="s">
        <v>321</v>
      </c>
      <c r="AY1097" s="492"/>
      <c r="AZ1097" s="492"/>
      <c r="BA1097" s="492"/>
      <c r="BB1097" s="492"/>
      <c r="BC1097" s="492"/>
      <c r="BD1097" s="492"/>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3" t="s">
        <v>262</v>
      </c>
    </row>
    <row r="1098" spans="1:78" s="142" customFormat="1" ht="12.75" hidden="1" customHeight="1" thickBot="1">
      <c r="A1098" s="808"/>
      <c r="B1098" s="166"/>
      <c r="C1098" s="777" t="s">
        <v>196</v>
      </c>
      <c r="D1098" s="512" t="str">
        <f>Translations!$B$622</f>
        <v>VD:</v>
      </c>
      <c r="E1098" s="513"/>
      <c r="F1098" s="402"/>
      <c r="G1098" s="1532" t="str">
        <f>IF(OR(ISBLANK(F1098),F1098=EUconst_NoTier),"",IF(Z1098=0,EUconst_NA,IF(ISERROR(Z1098),"",Z1098)))</f>
        <v/>
      </c>
      <c r="H1098" s="1533"/>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0"/>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0"/>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0"/>
      <c r="AV1098" s="492" t="s">
        <v>314</v>
      </c>
      <c r="AW1098" s="492" t="s">
        <v>319</v>
      </c>
      <c r="AX1098" s="524"/>
      <c r="AY1098" s="30" t="s">
        <v>542</v>
      </c>
      <c r="AZ1098" s="30"/>
      <c r="BA1098" s="30"/>
      <c r="BB1098" s="504"/>
      <c r="BC1098" s="493" t="str">
        <f>EUconst_Fuel</f>
        <v>Degimas</v>
      </c>
      <c r="BD1098" s="493" t="str">
        <f>EUconst_ProcessCarbonate</f>
        <v>Proceso metu išsiskiriančios ŠESD</v>
      </c>
      <c r="BE1098" s="493"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4" t="b">
        <f>BZ1093</f>
        <v>1</v>
      </c>
    </row>
    <row r="1099" spans="1:78" s="142" customFormat="1" ht="5.0999999999999996" hidden="1" customHeight="1">
      <c r="A1099" s="808"/>
      <c r="B1099" s="166"/>
      <c r="C1099" s="814"/>
      <c r="D1099" s="306"/>
      <c r="F1099" s="143"/>
      <c r="G1099" s="143"/>
      <c r="H1099" s="143" t="s">
        <v>236</v>
      </c>
      <c r="I1099" s="525"/>
      <c r="J1099" s="525"/>
      <c r="K1099" s="143"/>
      <c r="L1099" s="143"/>
      <c r="M1099" s="710"/>
      <c r="O1099" s="733"/>
      <c r="P1099" s="33"/>
      <c r="Q1099" s="33"/>
      <c r="R1099" s="33"/>
      <c r="S1099" s="30"/>
      <c r="T1099" s="155"/>
      <c r="U1099" s="497"/>
      <c r="V1099" s="30"/>
      <c r="W1099" s="30"/>
      <c r="X1099" s="497"/>
      <c r="Y1099" s="526"/>
      <c r="Z1099" s="30"/>
      <c r="AA1099" s="30"/>
      <c r="AB1099" s="30"/>
      <c r="AC1099" s="30"/>
      <c r="AD1099" s="30"/>
      <c r="AE1099" s="30"/>
      <c r="AF1099" s="30"/>
      <c r="AG1099" s="30"/>
      <c r="AH1099" s="30"/>
      <c r="AI1099" s="30"/>
      <c r="AJ1099" s="30"/>
      <c r="AK1099" s="30"/>
      <c r="AL1099" s="342"/>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3"/>
    </row>
    <row r="1100" spans="1:78" s="142" customFormat="1" ht="12.75" hidden="1" customHeight="1" thickBot="1">
      <c r="A1100" s="808"/>
      <c r="B1100" s="166"/>
      <c r="C1100" s="814" t="s">
        <v>197</v>
      </c>
      <c r="D1100" s="512" t="str">
        <f>Translations!$B$634</f>
        <v>(prelim.) ITF:</v>
      </c>
      <c r="E1100" s="513"/>
      <c r="F1100" s="527"/>
      <c r="G1100" s="1532" t="str">
        <f t="shared" ref="G1100:G1106" si="266">IF(OR(ISBLANK(F1100),F1100=EUconst_NoTier),"",IF(Z1100=0,EUconst_NotApplicable,IF(ISERROR(Z1100),"",Z1100)))</f>
        <v/>
      </c>
      <c r="H1100" s="1556"/>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3"/>
      <c r="Q1100" s="33"/>
      <c r="R1100" s="33"/>
      <c r="S1100" s="30"/>
      <c r="T1100" s="530" t="str">
        <f>EUconst_CNTR_EF&amp;E1089</f>
        <v>EF_</v>
      </c>
      <c r="U1100" s="497"/>
      <c r="V1100" s="531" t="str">
        <f>V1098</f>
        <v/>
      </c>
      <c r="W1100" s="30"/>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0"/>
      <c r="AC1100" s="535" t="b">
        <f>AND(AC1098,Y1100&lt;&gt;EUconst_NA)</f>
        <v>0</v>
      </c>
      <c r="AD1100" s="30"/>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0"/>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0"/>
      <c r="BA1100" s="30"/>
      <c r="BB1100" s="547" t="s">
        <v>594</v>
      </c>
      <c r="BC1100" s="546" t="str">
        <f>IF(K1088=BC1098,AR1098*IF(AJ1100=EUconst_tCO2pTJ,(AR1101/1000),1)*AR1100*AR1102*AR1106,"")</f>
        <v/>
      </c>
      <c r="BD1100" s="524" t="str">
        <f>IF(K1088=BD1098,AR1098*AR1100*AR1103*AR1106,"")</f>
        <v/>
      </c>
      <c r="BE1100" s="523"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1" t="b">
        <f>OR(BZ1098,Y1100=EUconst_NA)</f>
        <v>1</v>
      </c>
    </row>
    <row r="1101" spans="1:78" s="142" customFormat="1" ht="12.75" hidden="1" customHeight="1" thickBot="1">
      <c r="A1101" s="808"/>
      <c r="B1101" s="166"/>
      <c r="C1101" s="814" t="s">
        <v>198</v>
      </c>
      <c r="D1101" s="512" t="str">
        <f>Translations!$B$636</f>
        <v>GŠV:</v>
      </c>
      <c r="E1101" s="513"/>
      <c r="F1101" s="548"/>
      <c r="G1101" s="1532" t="str">
        <f t="shared" si="266"/>
        <v/>
      </c>
      <c r="H1101" s="1533"/>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3"/>
      <c r="Q1101" s="33"/>
      <c r="R1101" s="33"/>
      <c r="S1101" s="30"/>
      <c r="T1101" s="552" t="str">
        <f>EUconst_CNTR_NCV&amp;E1089</f>
        <v>NCV_</v>
      </c>
      <c r="U1101" s="497"/>
      <c r="V1101" s="553" t="str">
        <f t="shared" ref="V1101:V1106" si="272">V1100</f>
        <v/>
      </c>
      <c r="W1101" s="30"/>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0"/>
      <c r="AC1101" s="557" t="b">
        <f>AND(AC1098,Y1101&lt;&gt;EUconst_NA)</f>
        <v>0</v>
      </c>
      <c r="AD1101" s="30"/>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0"/>
      <c r="AV1101" s="567" t="b">
        <f t="shared" si="269"/>
        <v>0</v>
      </c>
      <c r="AW1101" s="568" t="b">
        <f t="shared" si="270"/>
        <v>0</v>
      </c>
      <c r="AX1101" s="30"/>
      <c r="AY1101" s="553" t="b">
        <f t="shared" si="271"/>
        <v>0</v>
      </c>
      <c r="AZ1101" s="30"/>
      <c r="BA1101" s="30"/>
      <c r="BB1101" s="547" t="s">
        <v>595</v>
      </c>
      <c r="BC1101" s="546" t="str">
        <f>IF(K1088=BC1098,AR1098*IF(AJ1100=EUconst_tCO2pTJ,(AR1101/1000),1)*AR1100*AR1102*AR1105,"")</f>
        <v/>
      </c>
      <c r="BD1101" s="524" t="str">
        <f>IF(K1088=BD1098,AR1098*AR1100*AR1103*AR1105,"")</f>
        <v/>
      </c>
      <c r="BE1101" s="523"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3" t="b">
        <f>OR(BZ1098,Y1101=EUconst_NA)</f>
        <v>1</v>
      </c>
    </row>
    <row r="1102" spans="1:78" s="142" customFormat="1" ht="12.75" hidden="1" customHeight="1" thickBot="1">
      <c r="A1102" s="808"/>
      <c r="B1102" s="166"/>
      <c r="C1102" s="814" t="s">
        <v>199</v>
      </c>
      <c r="D1102" s="512" t="str">
        <f>Translations!$B$638</f>
        <v>OksK:</v>
      </c>
      <c r="E1102" s="513"/>
      <c r="F1102" s="548"/>
      <c r="G1102" s="1532" t="str">
        <f t="shared" si="266"/>
        <v/>
      </c>
      <c r="H1102" s="1533"/>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3"/>
      <c r="Q1102" s="33"/>
      <c r="R1102" s="33"/>
      <c r="S1102" s="30"/>
      <c r="T1102" s="552" t="str">
        <f>EUconst_CNTR_OxidationFactor&amp;E1089</f>
        <v>OxF_</v>
      </c>
      <c r="U1102" s="497"/>
      <c r="V1102" s="553" t="str">
        <f t="shared" si="272"/>
        <v/>
      </c>
      <c r="W1102" s="30"/>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0"/>
      <c r="AC1102" s="557" t="b">
        <f>AND(AC1098,Y1102&lt;&gt;EUconst_NA)</f>
        <v>0</v>
      </c>
      <c r="AD1102" s="30"/>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0"/>
      <c r="AV1102" s="567" t="b">
        <f t="shared" si="269"/>
        <v>0</v>
      </c>
      <c r="AW1102" s="568" t="b">
        <f t="shared" si="270"/>
        <v>0</v>
      </c>
      <c r="AX1102" s="30"/>
      <c r="AY1102" s="594" t="b">
        <f t="shared" si="271"/>
        <v>0</v>
      </c>
      <c r="AZ1102" s="531" t="b">
        <f>AR1102&gt;100%</f>
        <v>0</v>
      </c>
      <c r="BA1102" s="30"/>
      <c r="BB1102" s="547" t="s">
        <v>290</v>
      </c>
      <c r="BC1102" s="546" t="str">
        <f>IF(K1088=BC1098,AR1098*IF(AJ1100=EUconst_tCO2pTJ,(AR1101/1000),1)*AR1100*AR1102*(1-AR1105),"")</f>
        <v/>
      </c>
      <c r="BD1102" s="524" t="str">
        <f>IF(K1088=BD1098,AR1098*AR1100*AR1103*(1-AR1105),"")</f>
        <v/>
      </c>
      <c r="BE1102" s="523"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3" t="b">
        <f>OR(BZ1098,Y1102=EUconst_NA)</f>
        <v>1</v>
      </c>
    </row>
    <row r="1103" spans="1:78" s="142" customFormat="1" ht="12.75" hidden="1" customHeight="1" thickBot="1">
      <c r="A1103" s="808"/>
      <c r="B1103" s="166"/>
      <c r="C1103" s="814" t="s">
        <v>200</v>
      </c>
      <c r="D1103" s="512" t="str">
        <f>Translations!$B$639</f>
        <v>KonvK:</v>
      </c>
      <c r="E1103" s="513"/>
      <c r="F1103" s="548"/>
      <c r="G1103" s="1532" t="str">
        <f t="shared" si="266"/>
        <v/>
      </c>
      <c r="H1103" s="1533"/>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3"/>
      <c r="Q1103" s="33"/>
      <c r="R1103" s="33"/>
      <c r="S1103" s="30"/>
      <c r="T1103" s="552" t="str">
        <f>EUconst_CNTR_ConversionFactor&amp;E1089</f>
        <v>ConvF_</v>
      </c>
      <c r="U1103" s="497"/>
      <c r="V1103" s="553" t="str">
        <f t="shared" si="272"/>
        <v/>
      </c>
      <c r="W1103" s="30"/>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0"/>
      <c r="AC1103" s="557" t="b">
        <f>AND(AC1098,Y1103&lt;&gt;EUconst_NA)</f>
        <v>0</v>
      </c>
      <c r="AD1103" s="30"/>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0"/>
      <c r="AV1103" s="567" t="b">
        <f t="shared" si="269"/>
        <v>0</v>
      </c>
      <c r="AW1103" s="568" t="b">
        <f t="shared" si="270"/>
        <v>0</v>
      </c>
      <c r="AX1103" s="30"/>
      <c r="AY1103" s="594" t="b">
        <f t="shared" si="271"/>
        <v>0</v>
      </c>
      <c r="AZ1103" s="580" t="b">
        <f>AR1103&gt;100%</f>
        <v>0</v>
      </c>
      <c r="BA1103" s="30"/>
      <c r="BB1103" s="578" t="s">
        <v>487</v>
      </c>
      <c r="BC1103" s="579">
        <f>AR1098*AR1101/1000*(1-AR1105)</f>
        <v>0</v>
      </c>
      <c r="BD1103" s="580">
        <f>BC1103</f>
        <v>0</v>
      </c>
      <c r="BE1103" s="581">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3" t="b">
        <f>OR(BZ1098,Y1103=EUconst_NA)</f>
        <v>1</v>
      </c>
    </row>
    <row r="1104" spans="1:78" s="142" customFormat="1" ht="12.75" hidden="1" customHeight="1" thickBot="1">
      <c r="A1104" s="808"/>
      <c r="B1104" s="166"/>
      <c r="C1104" s="814" t="s">
        <v>329</v>
      </c>
      <c r="D1104" s="512" t="str">
        <f>Translations!$B$640</f>
        <v>AnglK:</v>
      </c>
      <c r="E1104" s="513"/>
      <c r="F1104" s="548"/>
      <c r="G1104" s="1532" t="str">
        <f t="shared" si="266"/>
        <v/>
      </c>
      <c r="H1104" s="1533"/>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3"/>
      <c r="Q1104" s="33"/>
      <c r="R1104" s="33"/>
      <c r="S1104" s="30"/>
      <c r="T1104" s="552" t="str">
        <f>EUconst_CNTR_CarbonContent&amp;E1089</f>
        <v>CarbC_</v>
      </c>
      <c r="U1104" s="497"/>
      <c r="V1104" s="553" t="str">
        <f t="shared" si="272"/>
        <v/>
      </c>
      <c r="W1104" s="30"/>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0"/>
      <c r="AC1104" s="557" t="b">
        <f>AND(AC1098,Y1104&lt;&gt;EUconst_NA)</f>
        <v>0</v>
      </c>
      <c r="AD1104" s="30"/>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0"/>
      <c r="AV1104" s="567" t="b">
        <f t="shared" si="269"/>
        <v>0</v>
      </c>
      <c r="AW1104" s="568" t="b">
        <f t="shared" si="270"/>
        <v>0</v>
      </c>
      <c r="AX1104" s="546" t="b">
        <f>OR(AND(AJ1098=EUconst_kNm3,AJ1104=EUconst_tCpt),AND(AJ1098=EUconst_t,AJ1104=EUconst_tCpkNm3))</f>
        <v>0</v>
      </c>
      <c r="AY1104" s="553" t="b">
        <f t="shared" si="271"/>
        <v>0</v>
      </c>
      <c r="AZ1104" s="30"/>
      <c r="BA1104" s="30"/>
      <c r="BB1104" s="578" t="s">
        <v>488</v>
      </c>
      <c r="BC1104" s="579">
        <f>AR1098*AR1101/1000*AR1105</f>
        <v>0</v>
      </c>
      <c r="BD1104" s="580">
        <f>BC1104</f>
        <v>0</v>
      </c>
      <c r="BE1104" s="581">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3" t="b">
        <f>OR(BZ1098,Y1104=EUconst_NA)</f>
        <v>1</v>
      </c>
    </row>
    <row r="1105" spans="1:78" s="142" customFormat="1" ht="12.75" hidden="1" customHeight="1">
      <c r="A1105" s="808"/>
      <c r="B1105" s="166"/>
      <c r="C1105" s="777" t="s">
        <v>330</v>
      </c>
      <c r="D1105" s="512" t="str">
        <f>Translations!$B$641</f>
        <v>BioC:</v>
      </c>
      <c r="E1105" s="513"/>
      <c r="F1105" s="548"/>
      <c r="G1105" s="1532" t="str">
        <f t="shared" si="266"/>
        <v/>
      </c>
      <c r="H1105" s="1533"/>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0"/>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0"/>
      <c r="AC1105" s="557" t="b">
        <f>AND(AC1098,Y1105&lt;&gt;EUconst_NA)</f>
        <v>0</v>
      </c>
      <c r="AD1105" s="30"/>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0"/>
      <c r="AV1105" s="567" t="b">
        <f t="shared" si="269"/>
        <v>0</v>
      </c>
      <c r="AW1105" s="568" t="b">
        <f t="shared" si="270"/>
        <v>0</v>
      </c>
      <c r="AX1105" s="30"/>
      <c r="AY1105" s="594" t="b">
        <f t="shared" si="271"/>
        <v>0</v>
      </c>
      <c r="AZ1105" s="531"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3" t="b">
        <f>OR(BZ1098,Y1105=EUconst_NA)</f>
        <v>1</v>
      </c>
    </row>
    <row r="1106" spans="1:78" s="142" customFormat="1" ht="12.75" hidden="1" customHeight="1" thickBot="1">
      <c r="A1106" s="808"/>
      <c r="B1106" s="166"/>
      <c r="C1106" s="777" t="s">
        <v>454</v>
      </c>
      <c r="D1106" s="512" t="str">
        <f>Translations!$B$647</f>
        <v>Netvar. BioC:</v>
      </c>
      <c r="E1106" s="513"/>
      <c r="F1106" s="597"/>
      <c r="G1106" s="1532" t="str">
        <f t="shared" si="266"/>
        <v/>
      </c>
      <c r="H1106" s="1533"/>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0"/>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0"/>
      <c r="AC1106" s="603" t="b">
        <f>AND(AC1098,Y1106&lt;&gt;EUconst_NA)</f>
        <v>0</v>
      </c>
      <c r="AD1106" s="30"/>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0"/>
      <c r="AV1106" s="613" t="b">
        <f t="shared" si="269"/>
        <v>0</v>
      </c>
      <c r="AW1106" s="614" t="b">
        <f t="shared" si="270"/>
        <v>0</v>
      </c>
      <c r="AX1106" s="30"/>
      <c r="AY1106" s="579" t="b">
        <f t="shared" si="271"/>
        <v>0</v>
      </c>
      <c r="AZ1106" s="580"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80" t="b">
        <f>OR(BZ1098,Y1106=EUconst_NA)</f>
        <v>1</v>
      </c>
    </row>
    <row r="1107" spans="1:78" s="142" customFormat="1" ht="4.5" hidden="1" customHeight="1">
      <c r="A1107" s="808"/>
      <c r="B1107" s="166"/>
      <c r="C1107" s="166"/>
      <c r="D1107" s="180"/>
      <c r="O1107" s="733"/>
      <c r="P1107" s="33"/>
      <c r="Q1107" s="33"/>
      <c r="R1107" s="33"/>
      <c r="S1107" s="174"/>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hidden="1" customHeight="1">
      <c r="A1108" s="808"/>
      <c r="B1108" s="166"/>
      <c r="C1108" s="166"/>
      <c r="D1108" s="1558" t="str">
        <f>Translations!$B$674</f>
        <v>Pakopos galioja nuo:</v>
      </c>
      <c r="E1108" s="1558"/>
      <c r="F1108" s="1559"/>
      <c r="G1108" s="1052"/>
      <c r="H1108" s="615" t="str">
        <f>Translations!$B$675</f>
        <v>iki:</v>
      </c>
      <c r="I1108" s="1052"/>
      <c r="J1108" s="1536" t="str">
        <f>Translations!$B$676</f>
        <v>Atliekų katalogo numeris (jeigu taikytina):</v>
      </c>
      <c r="K1108" s="1537"/>
      <c r="L1108" s="1537"/>
      <c r="M1108" s="1538"/>
      <c r="N1108" s="1289"/>
      <c r="O1108" s="733"/>
      <c r="P1108" s="33"/>
      <c r="Q1108" s="33"/>
      <c r="R1108" s="33"/>
      <c r="S1108" s="1290"/>
      <c r="T1108" s="492"/>
      <c r="U1108" s="492"/>
      <c r="V1108" s="48" t="b">
        <f>IF(V1098="",FALSE,INDEX(CNTR_IsWaste,MATCH(V1098,MSParameters!$A$218:$A$376,0)))</f>
        <v>0</v>
      </c>
      <c r="W1108" s="1290"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hidden="1" customHeight="1">
      <c r="A1109" s="808"/>
      <c r="B1109" s="166"/>
      <c r="C1109" s="166"/>
      <c r="D1109" s="615"/>
      <c r="E1109" s="495"/>
      <c r="F1109" s="495"/>
      <c r="G1109" s="495"/>
      <c r="H1109" s="495"/>
      <c r="I1109" s="495"/>
      <c r="J1109" s="495"/>
      <c r="K1109" s="495"/>
      <c r="L1109" s="495"/>
      <c r="M1109" s="495"/>
      <c r="N1109" s="495"/>
      <c r="O1109" s="733"/>
      <c r="P1109" s="33"/>
      <c r="Q1109" s="33"/>
      <c r="R1109" s="33"/>
      <c r="S1109" s="174"/>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hidden="1" customHeight="1">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3"/>
      <c r="Q1110" s="33"/>
      <c r="R1110" s="33"/>
      <c r="S1110" s="174"/>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hidden="1" customHeight="1">
      <c r="A1111" s="815"/>
      <c r="D1111" s="180"/>
      <c r="O1111" s="573"/>
      <c r="P1111" s="497"/>
      <c r="Q1111" s="497"/>
      <c r="R1111" s="497"/>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hidden="1">
      <c r="A1112" s="815"/>
      <c r="D1112" s="1534" t="str">
        <f>Translations!$B$160</f>
        <v>Pastabos:</v>
      </c>
      <c r="E1112" s="1535"/>
      <c r="F1112" s="1539"/>
      <c r="G1112" s="1540"/>
      <c r="H1112" s="1540"/>
      <c r="I1112" s="1540"/>
      <c r="J1112" s="1540"/>
      <c r="K1112" s="1540"/>
      <c r="L1112" s="1540"/>
      <c r="M1112" s="1540"/>
      <c r="N1112" s="1541"/>
      <c r="O1112" s="573"/>
      <c r="P1112" s="497"/>
      <c r="Q1112" s="497"/>
      <c r="R1112" s="497"/>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c r="A1113" s="808"/>
      <c r="B1113" s="495"/>
      <c r="C1113" s="499"/>
      <c r="D1113" s="500"/>
      <c r="E1113" s="501"/>
      <c r="F1113" s="499"/>
      <c r="G1113" s="502"/>
      <c r="H1113" s="502"/>
      <c r="I1113" s="502"/>
      <c r="J1113" s="502"/>
      <c r="K1113" s="502"/>
      <c r="L1113" s="502"/>
      <c r="M1113" s="502"/>
      <c r="N1113" s="502"/>
      <c r="O1113" s="740"/>
      <c r="P1113" s="494"/>
      <c r="Q1113" s="494"/>
      <c r="R1113" s="494"/>
      <c r="S1113" s="58"/>
      <c r="T1113" s="58"/>
      <c r="U1113" s="498"/>
      <c r="V1113" s="58"/>
      <c r="W1113" s="58"/>
      <c r="X1113" s="498"/>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c r="A1114" s="813"/>
      <c r="B1114" s="495"/>
      <c r="C1114" s="495"/>
      <c r="D1114" s="180"/>
      <c r="E1114" s="496"/>
      <c r="F1114" s="495"/>
      <c r="G1114" s="487"/>
      <c r="H1114" s="487"/>
      <c r="I1114" s="487"/>
      <c r="J1114" s="487"/>
      <c r="K1114" s="495"/>
      <c r="L1114" s="487"/>
      <c r="M1114" s="487"/>
      <c r="N1114" s="487"/>
      <c r="O1114" s="740"/>
      <c r="P1114" s="494"/>
      <c r="Q1114" s="494"/>
      <c r="R1114" s="494"/>
      <c r="S1114" s="23"/>
      <c r="T1114" s="27" t="str">
        <f>IF(ISBLANK(E1115),"",MATCH(E1115,CNTR_SourceStreamNames,0))</f>
        <v/>
      </c>
      <c r="U1114" s="618"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1"/>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3" t="s">
        <v>262</v>
      </c>
    </row>
    <row r="1115" spans="1:78" s="142" customFormat="1" ht="15" hidden="1" customHeight="1" thickBot="1">
      <c r="A1115" s="869" t="str">
        <f>IF(E1115="","","PRINT")</f>
        <v/>
      </c>
      <c r="B1115" s="166"/>
      <c r="C1115" s="617">
        <f>C1088+1</f>
        <v>40</v>
      </c>
      <c r="D1115" s="166"/>
      <c r="E1115" s="1542"/>
      <c r="F1115" s="1543"/>
      <c r="G1115" s="1543"/>
      <c r="H1115" s="1543"/>
      <c r="I1115" s="1543"/>
      <c r="J1115" s="1544"/>
      <c r="K1115" s="1545" t="str">
        <f>IF(E1116="","",INDEX(EUwideConstants!$F$353:$F$394,MATCH(E1116,EUConst_TierActivityListNames,0)))</f>
        <v/>
      </c>
      <c r="L1115" s="1546"/>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3"/>
      <c r="T1115" s="509" t="s">
        <v>393</v>
      </c>
      <c r="U1115" s="23"/>
      <c r="V1115" s="78"/>
      <c r="W1115" s="56"/>
      <c r="X1115" s="58"/>
      <c r="Y1115" s="58"/>
      <c r="Z1115" s="58"/>
      <c r="AA1115" s="58"/>
      <c r="AB1115" s="58"/>
      <c r="AC1115" s="58"/>
      <c r="AD1115" s="58"/>
      <c r="AE1115" s="58"/>
      <c r="AF1115" s="58"/>
      <c r="AG1115" s="58"/>
      <c r="AH1115" s="58"/>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6"/>
      <c r="BZ1115" s="619" t="b">
        <f>CNTR_CalcRelevant=EUconst_NotRelevant</f>
        <v>0</v>
      </c>
    </row>
    <row r="1116" spans="1:78" s="142" customFormat="1" ht="15" hidden="1" customHeight="1" thickBot="1">
      <c r="A1116" s="808"/>
      <c r="B1116" s="166"/>
      <c r="C1116" s="166"/>
      <c r="D1116" s="166"/>
      <c r="E1116" s="1547" t="str">
        <f>IF(ISBLANK(E1115),"",IF(INDEX(B_InstallationDescription!$E$71:$E$145,MATCH(U1114,B_InstallationDescription!$D$71:$D$145,0))&gt;0,INDEX(B_InstallationDescription!$E$71:$E$145,MATCH(U1114,B_InstallationDescription!$D$71:$D$145,0)),""))</f>
        <v/>
      </c>
      <c r="F1116" s="1548"/>
      <c r="G1116" s="1548"/>
      <c r="H1116" s="1548"/>
      <c r="I1116" s="1548"/>
      <c r="J1116" s="1549"/>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4"/>
      <c r="AH1116" s="30"/>
      <c r="AI1116" s="30"/>
      <c r="AJ1116" s="504"/>
      <c r="AK1116" s="504"/>
      <c r="AL1116" s="342"/>
      <c r="AM1116" s="27" t="s">
        <v>308</v>
      </c>
      <c r="AN1116" s="505"/>
      <c r="AO1116" s="505"/>
      <c r="AP1116" s="30"/>
      <c r="AQ1116" s="30"/>
      <c r="AR1116" s="30"/>
      <c r="AS1116" s="30"/>
      <c r="AT1116" s="30"/>
      <c r="AU1116" s="30"/>
      <c r="AV1116" s="27" t="s">
        <v>315</v>
      </c>
      <c r="AW1116" s="30"/>
      <c r="AX1116" s="492"/>
      <c r="AY1116" s="30"/>
      <c r="AZ1116" s="30"/>
      <c r="BA1116" s="30"/>
      <c r="BB1116" s="27" t="s">
        <v>219</v>
      </c>
      <c r="BC1116" s="30"/>
      <c r="BD1116" s="30"/>
      <c r="BE1116" s="30"/>
      <c r="BF1116" s="30"/>
      <c r="BG1116" s="27"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0"/>
      <c r="BZ1116" s="30"/>
    </row>
    <row r="1117" spans="1:78" s="142" customFormat="1" ht="4.5" hidden="1" customHeight="1">
      <c r="A1117" s="808"/>
      <c r="B1117" s="166"/>
      <c r="C1117" s="166"/>
      <c r="D1117" s="166"/>
      <c r="E1117" s="166"/>
      <c r="F1117" s="166"/>
      <c r="G1117" s="166"/>
      <c r="M1117" s="143"/>
      <c r="N1117" s="143"/>
      <c r="O1117" s="733"/>
      <c r="P1117" s="33"/>
      <c r="Q1117" s="33"/>
      <c r="R1117" s="33"/>
      <c r="S1117" s="23"/>
      <c r="T1117" s="23"/>
      <c r="U1117" s="23"/>
      <c r="V1117" s="78"/>
      <c r="W1117" s="30"/>
      <c r="X1117" s="30"/>
      <c r="Y1117" s="494"/>
      <c r="Z1117" s="30"/>
      <c r="AA1117" s="30"/>
      <c r="AB1117" s="30"/>
      <c r="AC1117" s="30"/>
      <c r="AD1117" s="30"/>
      <c r="AE1117" s="30"/>
      <c r="AF1117" s="58"/>
      <c r="AG1117" s="30"/>
      <c r="AH1117" s="30"/>
      <c r="AI1117" s="30"/>
      <c r="AJ1117" s="504"/>
      <c r="AK1117" s="504"/>
      <c r="AL1117" s="342"/>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hidden="1" customHeight="1" thickBot="1">
      <c r="A1118" s="808"/>
      <c r="B1118" s="166"/>
      <c r="C1118" s="166"/>
      <c r="D1118" s="166"/>
      <c r="E1118" s="1550" t="str">
        <f>IF(E1115="","",IF(T1116=TRUE,HYPERLINK("#JUMP_14",EUconst_MsgGoOnPFC),HYPERLINK("#JUMP_E_8",EUconst_FurtherGuidancePoint1)))</f>
        <v/>
      </c>
      <c r="F1118" s="1550"/>
      <c r="G1118" s="1550"/>
      <c r="H1118" s="1550"/>
      <c r="I1118" s="1550"/>
      <c r="J1118" s="1550"/>
      <c r="K1118" s="1550"/>
      <c r="L1118" s="1550"/>
      <c r="M1118" s="1550"/>
      <c r="N1118" s="143"/>
      <c r="O1118" s="733"/>
      <c r="P1118" s="33"/>
      <c r="Q1118" s="352" t="str">
        <f>EUconst_SumNonSustBioCO2 &amp; "_" &amp; K1115</f>
        <v>SUM_bioNonSustCO2_</v>
      </c>
      <c r="R1118" s="707"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4"/>
      <c r="AK1118" s="504"/>
      <c r="AL1118" s="342"/>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4.5" hidden="1" customHeight="1">
      <c r="A1119" s="808"/>
      <c r="B1119" s="166"/>
      <c r="C1119" s="166"/>
      <c r="D1119" s="166"/>
      <c r="E1119" s="166"/>
      <c r="F1119" s="166"/>
      <c r="G1119" s="166"/>
      <c r="M1119" s="143"/>
      <c r="N1119" s="143"/>
      <c r="O1119" s="733"/>
      <c r="P1119" s="23"/>
      <c r="Q1119" s="23"/>
      <c r="R1119" s="23"/>
      <c r="S1119" s="23"/>
      <c r="T1119" s="23"/>
      <c r="U1119" s="23"/>
      <c r="V1119" s="30"/>
      <c r="W1119" s="30"/>
      <c r="X1119" s="30"/>
      <c r="Y1119" s="494"/>
      <c r="Z1119" s="30"/>
      <c r="AA1119" s="30"/>
      <c r="AB1119" s="30"/>
      <c r="AC1119" s="30"/>
      <c r="AD1119" s="30"/>
      <c r="AE1119" s="30"/>
      <c r="AF1119" s="58"/>
      <c r="AG1119" s="30"/>
      <c r="AH1119" s="30"/>
      <c r="AI1119" s="30"/>
      <c r="AJ1119" s="504"/>
      <c r="AK1119" s="504"/>
      <c r="AL1119" s="342"/>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hidden="1" customHeight="1" thickBot="1">
      <c r="A1120" s="808"/>
      <c r="B1120" s="166"/>
      <c r="C1120" s="814" t="s">
        <v>4</v>
      </c>
      <c r="D1120" s="512" t="str">
        <f>Translations!$B$622</f>
        <v>VD:</v>
      </c>
      <c r="E1120" s="1560" t="str">
        <f>Translations!$B$667</f>
        <v>Ar veiklos duomenys gaunami sudedant išmatuotus kiekius (t. y. ne atliekant nuolatinius matavimus)?</v>
      </c>
      <c r="F1120" s="1560"/>
      <c r="G1120" s="1560"/>
      <c r="H1120" s="1560"/>
      <c r="I1120" s="1560"/>
      <c r="J1120" s="1560"/>
      <c r="K1120" s="1560"/>
      <c r="L1120" s="1179"/>
      <c r="M1120" s="507"/>
      <c r="O1120" s="733"/>
      <c r="P1120" s="23"/>
      <c r="Q1120" s="23"/>
      <c r="R1120" s="23"/>
      <c r="S1120" s="23"/>
      <c r="T1120" s="23"/>
      <c r="U1120" s="23"/>
      <c r="V1120" s="30"/>
      <c r="W1120" s="30"/>
      <c r="X1120" s="30"/>
      <c r="Y1120" s="494"/>
      <c r="Z1120" s="30"/>
      <c r="AA1120" s="30"/>
      <c r="AB1120" s="30"/>
      <c r="AC1120" s="1172" t="b">
        <f>AND(E1115&lt;&gt;"",T1116&lt;&gt;TRUE)</f>
        <v>0</v>
      </c>
      <c r="AD1120" s="30"/>
      <c r="AE1120" s="30"/>
      <c r="AF1120" s="58"/>
      <c r="AG1120" s="30"/>
      <c r="AH1120" s="30"/>
      <c r="AI1120" s="30"/>
      <c r="AJ1120" s="504"/>
      <c r="AK1120" s="504"/>
      <c r="AL1120" s="342"/>
      <c r="AM1120" s="30"/>
      <c r="AN1120" s="30"/>
      <c r="AO1120" s="30"/>
      <c r="AP1120" s="30"/>
      <c r="AQ1120" s="30"/>
      <c r="AR1120" s="30"/>
      <c r="AS1120" s="30"/>
      <c r="AT1120" s="1172"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2" t="b">
        <f>OR(CNTR_CalcRelevant=EUconst_NotRelevant,AND(COUNTA(CNTR_ListRelevantSections)&gt;0,OR(T1116=TRUE,E1115="")))</f>
        <v>1</v>
      </c>
    </row>
    <row r="1121" spans="1:78" s="142" customFormat="1" ht="4.5" hidden="1" customHeight="1">
      <c r="A1121" s="808"/>
      <c r="B1121" s="166"/>
      <c r="C1121" s="166"/>
      <c r="D1121" s="166"/>
      <c r="E1121" s="166"/>
      <c r="F1121" s="166"/>
      <c r="G1121" s="166"/>
      <c r="H1121" s="495"/>
      <c r="I1121" s="495"/>
      <c r="J1121" s="495"/>
      <c r="K1121" s="495"/>
      <c r="L1121" s="495"/>
      <c r="M1121" s="507"/>
      <c r="O1121" s="733"/>
      <c r="P1121" s="23"/>
      <c r="Q1121" s="23"/>
      <c r="R1121" s="23"/>
      <c r="S1121" s="23"/>
      <c r="T1121" s="23"/>
      <c r="U1121" s="23"/>
      <c r="V1121" s="30"/>
      <c r="W1121" s="30"/>
      <c r="X1121" s="30"/>
      <c r="Y1121" s="494"/>
      <c r="Z1121" s="30"/>
      <c r="AA1121" s="30"/>
      <c r="AB1121" s="30"/>
      <c r="AC1121" s="492"/>
      <c r="AD1121" s="30"/>
      <c r="AE1121" s="30"/>
      <c r="AF1121" s="58"/>
      <c r="AG1121" s="30"/>
      <c r="AH1121" s="30"/>
      <c r="AI1121" s="30"/>
      <c r="AJ1121" s="504"/>
      <c r="AK1121" s="504"/>
      <c r="AL1121" s="342"/>
      <c r="AM1121" s="30"/>
      <c r="AN1121" s="30"/>
      <c r="AO1121" s="30"/>
      <c r="AP1121" s="30"/>
      <c r="AQ1121" s="30"/>
      <c r="AR1121" s="30"/>
      <c r="AS1121" s="30"/>
      <c r="AT1121" s="492"/>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2"/>
    </row>
    <row r="1122" spans="1:78" s="142" customFormat="1" ht="12.75" hidden="1" customHeight="1" thickBot="1">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3"/>
      <c r="Q1122" s="23"/>
      <c r="R1122" s="23"/>
      <c r="S1122" s="23"/>
      <c r="T1122" s="23"/>
      <c r="U1122" s="23"/>
      <c r="V1122" s="30"/>
      <c r="W1122" s="30"/>
      <c r="X1122" s="30"/>
      <c r="Y1122" s="494"/>
      <c r="Z1122" s="30"/>
      <c r="AA1122" s="30"/>
      <c r="AB1122" s="30"/>
      <c r="AC1122" s="1172" t="b">
        <f>AC1120</f>
        <v>0</v>
      </c>
      <c r="AD1122" s="30"/>
      <c r="AE1122" s="30"/>
      <c r="AF1122" s="58"/>
      <c r="AG1122" s="30"/>
      <c r="AH1122" s="30"/>
      <c r="AI1122" s="30"/>
      <c r="AJ1122" s="504"/>
      <c r="AK1122" s="504"/>
      <c r="AL1122" s="342"/>
      <c r="AM1122" s="30"/>
      <c r="AN1122" s="30"/>
      <c r="AO1122" s="30"/>
      <c r="AP1122" s="30"/>
      <c r="AQ1122" s="30"/>
      <c r="AR1122" s="30"/>
      <c r="AS1122" s="30"/>
      <c r="AT1122" s="1172"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2" t="b">
        <f>OR(BZ1120,AND(NOT(ISBLANK(L1120)),L1120=FALSE))</f>
        <v>1</v>
      </c>
    </row>
    <row r="1123" spans="1:78" s="142" customFormat="1" ht="4.5" hidden="1" customHeight="1">
      <c r="A1123" s="808"/>
      <c r="B1123" s="166"/>
      <c r="C1123" s="166"/>
      <c r="D1123" s="166"/>
      <c r="E1123" s="166"/>
      <c r="F1123" s="166"/>
      <c r="G1123" s="166"/>
      <c r="M1123" s="143"/>
      <c r="N1123" s="143"/>
      <c r="O1123" s="733"/>
      <c r="P1123" s="23"/>
      <c r="Q1123" s="23"/>
      <c r="R1123" s="23"/>
      <c r="S1123" s="23"/>
      <c r="T1123" s="23"/>
      <c r="U1123" s="23"/>
      <c r="V1123" s="30"/>
      <c r="W1123" s="30"/>
      <c r="X1123" s="30"/>
      <c r="Y1123" s="494"/>
      <c r="Z1123" s="30"/>
      <c r="AA1123" s="30"/>
      <c r="AB1123" s="30"/>
      <c r="AC1123" s="30"/>
      <c r="AD1123" s="30"/>
      <c r="AE1123" s="30"/>
      <c r="AF1123" s="58"/>
      <c r="AG1123" s="30"/>
      <c r="AH1123" s="30"/>
      <c r="AI1123" s="30"/>
      <c r="AJ1123" s="504"/>
      <c r="AK1123" s="504"/>
      <c r="AL1123" s="342"/>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hidden="1" customHeight="1" thickBot="1">
      <c r="A1124" s="808"/>
      <c r="B1124" s="166"/>
      <c r="C1124" s="166"/>
      <c r="D1124" s="166"/>
      <c r="E1124" s="166"/>
      <c r="F1124" s="506" t="str">
        <f>Translations!$B$333</f>
        <v>Pakopa</v>
      </c>
      <c r="G1124" s="1557" t="str">
        <f>Translations!$B$672</f>
        <v>pakopos aprašas</v>
      </c>
      <c r="H1124" s="1557"/>
      <c r="I1124" s="1555" t="str">
        <f>Translations!$B$158</f>
        <v>Vienetas</v>
      </c>
      <c r="J1124" s="1555"/>
      <c r="K1124" s="1555" t="str">
        <f>Translations!$B$673</f>
        <v>Vertė</v>
      </c>
      <c r="L1124" s="1555"/>
      <c r="M1124" s="507" t="str">
        <f>Translations!$B$610</f>
        <v>klaida</v>
      </c>
      <c r="O1124" s="733"/>
      <c r="P1124" s="508"/>
      <c r="Q1124" s="352" t="str">
        <f>EUconst_SumEnergyIN &amp; "_" &amp; K1115</f>
        <v>SUM_EnergyIN_</v>
      </c>
      <c r="R1124" s="399" t="str">
        <f>IF(OR(K1115="",T1116)=TRUE,"",INDEX(BC1130:BE1130,MATCH(K1115,BC1125:BE1125,0)))</f>
        <v/>
      </c>
      <c r="S1124" s="30"/>
      <c r="T1124" s="489"/>
      <c r="U1124" s="30"/>
      <c r="V1124" s="509" t="s">
        <v>303</v>
      </c>
      <c r="W1124" s="30"/>
      <c r="X1124" s="30"/>
      <c r="Y1124" s="494" t="s">
        <v>566</v>
      </c>
      <c r="Z1124" s="494" t="s">
        <v>318</v>
      </c>
      <c r="AA1124" s="30"/>
      <c r="AB1124" s="30"/>
      <c r="AC1124" s="505" t="s">
        <v>309</v>
      </c>
      <c r="AD1124" s="30"/>
      <c r="AE1124" s="30"/>
      <c r="AF1124" s="492" t="s">
        <v>305</v>
      </c>
      <c r="AG1124" s="492" t="s">
        <v>306</v>
      </c>
      <c r="AH1124" s="494" t="s">
        <v>304</v>
      </c>
      <c r="AI1124" s="504" t="s">
        <v>307</v>
      </c>
      <c r="AJ1124" s="504" t="s">
        <v>567</v>
      </c>
      <c r="AK1124" s="510" t="s">
        <v>311</v>
      </c>
      <c r="AL1124" s="342"/>
      <c r="AM1124" s="30"/>
      <c r="AN1124" s="492" t="s">
        <v>305</v>
      </c>
      <c r="AO1124" s="492" t="s">
        <v>306</v>
      </c>
      <c r="AP1124" s="511" t="s">
        <v>310</v>
      </c>
      <c r="AQ1124" s="504" t="s">
        <v>569</v>
      </c>
      <c r="AR1124" s="504" t="s">
        <v>568</v>
      </c>
      <c r="AS1124" s="510" t="s">
        <v>609</v>
      </c>
      <c r="AT1124" s="510" t="s">
        <v>609</v>
      </c>
      <c r="AU1124" s="30"/>
      <c r="AV1124" s="492"/>
      <c r="AW1124" s="492"/>
      <c r="AX1124" s="492" t="s">
        <v>321</v>
      </c>
      <c r="AY1124" s="492"/>
      <c r="AZ1124" s="492"/>
      <c r="BA1124" s="492"/>
      <c r="BB1124" s="492"/>
      <c r="BC1124" s="492"/>
      <c r="BD1124" s="492"/>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3" t="s">
        <v>262</v>
      </c>
    </row>
    <row r="1125" spans="1:78" s="142" customFormat="1" ht="12.75" hidden="1" customHeight="1" thickBot="1">
      <c r="A1125" s="808"/>
      <c r="B1125" s="166"/>
      <c r="C1125" s="777" t="s">
        <v>196</v>
      </c>
      <c r="D1125" s="512" t="str">
        <f>Translations!$B$622</f>
        <v>VD:</v>
      </c>
      <c r="E1125" s="513"/>
      <c r="F1125" s="402"/>
      <c r="G1125" s="1532" t="str">
        <f>IF(OR(ISBLANK(F1125),F1125=EUconst_NoTier),"",IF(Z1125=0,EUconst_NA,IF(ISERROR(Z1125),"",Z1125)))</f>
        <v/>
      </c>
      <c r="H1125" s="1533"/>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0"/>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0"/>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0"/>
      <c r="AV1125" s="492" t="s">
        <v>314</v>
      </c>
      <c r="AW1125" s="492" t="s">
        <v>319</v>
      </c>
      <c r="AX1125" s="524"/>
      <c r="AY1125" s="30" t="s">
        <v>542</v>
      </c>
      <c r="AZ1125" s="30"/>
      <c r="BA1125" s="30"/>
      <c r="BB1125" s="504"/>
      <c r="BC1125" s="493" t="str">
        <f>EUconst_Fuel</f>
        <v>Degimas</v>
      </c>
      <c r="BD1125" s="493" t="str">
        <f>EUconst_ProcessCarbonate</f>
        <v>Proceso metu išsiskiriančios ŠESD</v>
      </c>
      <c r="BE1125" s="493"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4" t="b">
        <f>BZ1120</f>
        <v>1</v>
      </c>
    </row>
    <row r="1126" spans="1:78" s="142" customFormat="1" ht="4.5" hidden="1" customHeight="1">
      <c r="A1126" s="808"/>
      <c r="B1126" s="166"/>
      <c r="C1126" s="814"/>
      <c r="D1126" s="306"/>
      <c r="F1126" s="143"/>
      <c r="G1126" s="143"/>
      <c r="H1126" s="143" t="s">
        <v>236</v>
      </c>
      <c r="I1126" s="525"/>
      <c r="J1126" s="525"/>
      <c r="K1126" s="143"/>
      <c r="L1126" s="143"/>
      <c r="M1126" s="710"/>
      <c r="O1126" s="733"/>
      <c r="P1126" s="33"/>
      <c r="Q1126" s="33"/>
      <c r="R1126" s="33"/>
      <c r="S1126" s="30"/>
      <c r="T1126" s="155"/>
      <c r="U1126" s="497"/>
      <c r="V1126" s="30"/>
      <c r="W1126" s="30"/>
      <c r="X1126" s="497"/>
      <c r="Y1126" s="526"/>
      <c r="Z1126" s="30"/>
      <c r="AA1126" s="30"/>
      <c r="AB1126" s="30"/>
      <c r="AC1126" s="30"/>
      <c r="AD1126" s="30"/>
      <c r="AE1126" s="30"/>
      <c r="AF1126" s="30"/>
      <c r="AG1126" s="30"/>
      <c r="AH1126" s="30"/>
      <c r="AI1126" s="30"/>
      <c r="AJ1126" s="30"/>
      <c r="AK1126" s="30"/>
      <c r="AL1126" s="342"/>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3"/>
    </row>
    <row r="1127" spans="1:78" s="142" customFormat="1" ht="12.75" hidden="1" customHeight="1" thickBot="1">
      <c r="A1127" s="808"/>
      <c r="B1127" s="166"/>
      <c r="C1127" s="814" t="s">
        <v>197</v>
      </c>
      <c r="D1127" s="512" t="str">
        <f>Translations!$B$634</f>
        <v>(prelim.) ITF:</v>
      </c>
      <c r="E1127" s="513"/>
      <c r="F1127" s="527"/>
      <c r="G1127" s="1532" t="str">
        <f t="shared" ref="G1127:G1133" si="273">IF(OR(ISBLANK(F1127),F1127=EUconst_NoTier),"",IF(Z1127=0,EUconst_NotApplicable,IF(ISERROR(Z1127),"",Z1127)))</f>
        <v/>
      </c>
      <c r="H1127" s="1556"/>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3"/>
      <c r="Q1127" s="33"/>
      <c r="R1127" s="33"/>
      <c r="S1127" s="30"/>
      <c r="T1127" s="530" t="str">
        <f>EUconst_CNTR_EF&amp;E1116</f>
        <v>EF_</v>
      </c>
      <c r="U1127" s="497"/>
      <c r="V1127" s="531" t="str">
        <f>V1125</f>
        <v/>
      </c>
      <c r="W1127" s="30"/>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0"/>
      <c r="AC1127" s="535" t="b">
        <f>AND(AC1125,Y1127&lt;&gt;EUconst_NA)</f>
        <v>0</v>
      </c>
      <c r="AD1127" s="30"/>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0"/>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0"/>
      <c r="BA1127" s="30"/>
      <c r="BB1127" s="547" t="s">
        <v>594</v>
      </c>
      <c r="BC1127" s="546" t="str">
        <f>IF(K1115=BC1125,AR1125*IF(AJ1127=EUconst_tCO2pTJ,(AR1128/1000),1)*AR1127*AR1129*AR1133,"")</f>
        <v/>
      </c>
      <c r="BD1127" s="524" t="str">
        <f>IF(K1115=BD1125,AR1125*AR1127*AR1130*AR1133,"")</f>
        <v/>
      </c>
      <c r="BE1127" s="523"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1" t="b">
        <f>OR(BZ1125,Y1127=EUconst_NA)</f>
        <v>1</v>
      </c>
    </row>
    <row r="1128" spans="1:78" s="142" customFormat="1" ht="12.75" hidden="1" customHeight="1" thickBot="1">
      <c r="A1128" s="808"/>
      <c r="B1128" s="166"/>
      <c r="C1128" s="814" t="s">
        <v>198</v>
      </c>
      <c r="D1128" s="512" t="str">
        <f>Translations!$B$636</f>
        <v>GŠV:</v>
      </c>
      <c r="E1128" s="513"/>
      <c r="F1128" s="548"/>
      <c r="G1128" s="1532" t="str">
        <f t="shared" si="273"/>
        <v/>
      </c>
      <c r="H1128" s="1533"/>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3"/>
      <c r="Q1128" s="33"/>
      <c r="R1128" s="33"/>
      <c r="S1128" s="30"/>
      <c r="T1128" s="552" t="str">
        <f>EUconst_CNTR_NCV&amp;E1116</f>
        <v>NCV_</v>
      </c>
      <c r="U1128" s="497"/>
      <c r="V1128" s="553" t="str">
        <f t="shared" ref="V1128:V1133" si="279">V1127</f>
        <v/>
      </c>
      <c r="W1128" s="30"/>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0"/>
      <c r="AC1128" s="557" t="b">
        <f>AND(AC1125,Y1128&lt;&gt;EUconst_NA)</f>
        <v>0</v>
      </c>
      <c r="AD1128" s="30"/>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0"/>
      <c r="AV1128" s="567" t="b">
        <f t="shared" si="276"/>
        <v>0</v>
      </c>
      <c r="AW1128" s="568" t="b">
        <f t="shared" si="277"/>
        <v>0</v>
      </c>
      <c r="AX1128" s="30"/>
      <c r="AY1128" s="553" t="b">
        <f t="shared" si="278"/>
        <v>0</v>
      </c>
      <c r="AZ1128" s="30"/>
      <c r="BA1128" s="30"/>
      <c r="BB1128" s="547" t="s">
        <v>595</v>
      </c>
      <c r="BC1128" s="546" t="str">
        <f>IF(K1115=BC1125,AR1125*IF(AJ1127=EUconst_tCO2pTJ,(AR1128/1000),1)*AR1127*AR1129*AR1132,"")</f>
        <v/>
      </c>
      <c r="BD1128" s="524" t="str">
        <f>IF(K1115=BD1125,AR1125*AR1127*AR1130*AR1132,"")</f>
        <v/>
      </c>
      <c r="BE1128" s="523"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3" t="b">
        <f>OR(BZ1125,Y1128=EUconst_NA)</f>
        <v>1</v>
      </c>
    </row>
    <row r="1129" spans="1:78" s="142" customFormat="1" ht="12.75" hidden="1" customHeight="1" thickBot="1">
      <c r="A1129" s="808"/>
      <c r="B1129" s="166"/>
      <c r="C1129" s="814" t="s">
        <v>199</v>
      </c>
      <c r="D1129" s="512" t="str">
        <f>Translations!$B$638</f>
        <v>OksK:</v>
      </c>
      <c r="E1129" s="513"/>
      <c r="F1129" s="548"/>
      <c r="G1129" s="1532" t="str">
        <f t="shared" si="273"/>
        <v/>
      </c>
      <c r="H1129" s="1533"/>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3"/>
      <c r="Q1129" s="33"/>
      <c r="R1129" s="33"/>
      <c r="S1129" s="30"/>
      <c r="T1129" s="552" t="str">
        <f>EUconst_CNTR_OxidationFactor&amp;E1116</f>
        <v>OxF_</v>
      </c>
      <c r="U1129" s="497"/>
      <c r="V1129" s="553" t="str">
        <f t="shared" si="279"/>
        <v/>
      </c>
      <c r="W1129" s="30"/>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0"/>
      <c r="AC1129" s="557" t="b">
        <f>AND(AC1125,Y1129&lt;&gt;EUconst_NA)</f>
        <v>0</v>
      </c>
      <c r="AD1129" s="30"/>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0"/>
      <c r="AV1129" s="567" t="b">
        <f t="shared" si="276"/>
        <v>0</v>
      </c>
      <c r="AW1129" s="568" t="b">
        <f t="shared" si="277"/>
        <v>0</v>
      </c>
      <c r="AX1129" s="30"/>
      <c r="AY1129" s="594" t="b">
        <f t="shared" si="278"/>
        <v>0</v>
      </c>
      <c r="AZ1129" s="531" t="b">
        <f>AR1129&gt;100%</f>
        <v>0</v>
      </c>
      <c r="BA1129" s="30"/>
      <c r="BB1129" s="547" t="s">
        <v>290</v>
      </c>
      <c r="BC1129" s="546" t="str">
        <f>IF(K1115=BC1125,AR1125*IF(AJ1127=EUconst_tCO2pTJ,(AR1128/1000),1)*AR1127*AR1129*(1-AR1132),"")</f>
        <v/>
      </c>
      <c r="BD1129" s="524" t="str">
        <f>IF(K1115=BD1125,AR1125*AR1127*AR1130*(1-AR1132),"")</f>
        <v/>
      </c>
      <c r="BE1129" s="523"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3" t="b">
        <f>OR(BZ1125,Y1129=EUconst_NA)</f>
        <v>1</v>
      </c>
    </row>
    <row r="1130" spans="1:78" s="142" customFormat="1" ht="12.75" hidden="1" customHeight="1" thickBot="1">
      <c r="A1130" s="808"/>
      <c r="B1130" s="166"/>
      <c r="C1130" s="814" t="s">
        <v>200</v>
      </c>
      <c r="D1130" s="512" t="str">
        <f>Translations!$B$639</f>
        <v>KonvK:</v>
      </c>
      <c r="E1130" s="513"/>
      <c r="F1130" s="548"/>
      <c r="G1130" s="1532" t="str">
        <f t="shared" si="273"/>
        <v/>
      </c>
      <c r="H1130" s="1533"/>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3"/>
      <c r="Q1130" s="33"/>
      <c r="R1130" s="33"/>
      <c r="S1130" s="30"/>
      <c r="T1130" s="552" t="str">
        <f>EUconst_CNTR_ConversionFactor&amp;E1116</f>
        <v>ConvF_</v>
      </c>
      <c r="U1130" s="497"/>
      <c r="V1130" s="553" t="str">
        <f t="shared" si="279"/>
        <v/>
      </c>
      <c r="W1130" s="30"/>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0"/>
      <c r="AC1130" s="557" t="b">
        <f>AND(AC1125,Y1130&lt;&gt;EUconst_NA)</f>
        <v>0</v>
      </c>
      <c r="AD1130" s="30"/>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0"/>
      <c r="AV1130" s="567" t="b">
        <f t="shared" si="276"/>
        <v>0</v>
      </c>
      <c r="AW1130" s="568" t="b">
        <f t="shared" si="277"/>
        <v>0</v>
      </c>
      <c r="AX1130" s="30"/>
      <c r="AY1130" s="594" t="b">
        <f t="shared" si="278"/>
        <v>0</v>
      </c>
      <c r="AZ1130" s="580" t="b">
        <f>AR1130&gt;100%</f>
        <v>0</v>
      </c>
      <c r="BA1130" s="30"/>
      <c r="BB1130" s="578" t="s">
        <v>487</v>
      </c>
      <c r="BC1130" s="579">
        <f>AR1125*AR1128/1000*(1-AR1132)</f>
        <v>0</v>
      </c>
      <c r="BD1130" s="580">
        <f>BC1130</f>
        <v>0</v>
      </c>
      <c r="BE1130" s="581">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3" t="b">
        <f>OR(BZ1125,Y1130=EUconst_NA)</f>
        <v>1</v>
      </c>
    </row>
    <row r="1131" spans="1:78" s="142" customFormat="1" ht="12.75" hidden="1" customHeight="1" thickBot="1">
      <c r="A1131" s="808"/>
      <c r="B1131" s="166"/>
      <c r="C1131" s="814" t="s">
        <v>329</v>
      </c>
      <c r="D1131" s="512" t="str">
        <f>Translations!$B$640</f>
        <v>AnglK:</v>
      </c>
      <c r="E1131" s="513"/>
      <c r="F1131" s="548"/>
      <c r="G1131" s="1532" t="str">
        <f t="shared" si="273"/>
        <v/>
      </c>
      <c r="H1131" s="1533"/>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3"/>
      <c r="Q1131" s="33"/>
      <c r="R1131" s="33"/>
      <c r="S1131" s="30"/>
      <c r="T1131" s="552" t="str">
        <f>EUconst_CNTR_CarbonContent&amp;E1116</f>
        <v>CarbC_</v>
      </c>
      <c r="U1131" s="497"/>
      <c r="V1131" s="553" t="str">
        <f t="shared" si="279"/>
        <v/>
      </c>
      <c r="W1131" s="30"/>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0"/>
      <c r="AC1131" s="557" t="b">
        <f>AND(AC1125,Y1131&lt;&gt;EUconst_NA)</f>
        <v>0</v>
      </c>
      <c r="AD1131" s="30"/>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0"/>
      <c r="AV1131" s="567" t="b">
        <f t="shared" si="276"/>
        <v>0</v>
      </c>
      <c r="AW1131" s="568" t="b">
        <f t="shared" si="277"/>
        <v>0</v>
      </c>
      <c r="AX1131" s="546" t="b">
        <f>OR(AND(AJ1125=EUconst_kNm3,AJ1131=EUconst_tCpt),AND(AJ1125=EUconst_t,AJ1131=EUconst_tCpkNm3))</f>
        <v>0</v>
      </c>
      <c r="AY1131" s="553" t="b">
        <f t="shared" si="278"/>
        <v>0</v>
      </c>
      <c r="AZ1131" s="30"/>
      <c r="BA1131" s="30"/>
      <c r="BB1131" s="578" t="s">
        <v>488</v>
      </c>
      <c r="BC1131" s="579">
        <f>AR1125*AR1128/1000*AR1132</f>
        <v>0</v>
      </c>
      <c r="BD1131" s="580">
        <f>BC1131</f>
        <v>0</v>
      </c>
      <c r="BE1131" s="581">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3" t="b">
        <f>OR(BZ1125,Y1131=EUconst_NA)</f>
        <v>1</v>
      </c>
    </row>
    <row r="1132" spans="1:78" s="142" customFormat="1" ht="12.75" hidden="1" customHeight="1">
      <c r="A1132" s="808"/>
      <c r="B1132" s="166"/>
      <c r="C1132" s="777" t="s">
        <v>330</v>
      </c>
      <c r="D1132" s="512" t="str">
        <f>Translations!$B$641</f>
        <v>BioC:</v>
      </c>
      <c r="E1132" s="513"/>
      <c r="F1132" s="548"/>
      <c r="G1132" s="1532" t="str">
        <f t="shared" si="273"/>
        <v/>
      </c>
      <c r="H1132" s="1533"/>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0"/>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0"/>
      <c r="AC1132" s="557" t="b">
        <f>AND(AC1125,Y1132&lt;&gt;EUconst_NA)</f>
        <v>0</v>
      </c>
      <c r="AD1132" s="30"/>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0"/>
      <c r="AV1132" s="567" t="b">
        <f t="shared" si="276"/>
        <v>0</v>
      </c>
      <c r="AW1132" s="568" t="b">
        <f t="shared" si="277"/>
        <v>0</v>
      </c>
      <c r="AX1132" s="30"/>
      <c r="AY1132" s="594" t="b">
        <f t="shared" si="278"/>
        <v>0</v>
      </c>
      <c r="AZ1132" s="531"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3" t="b">
        <f>OR(BZ1125,Y1132=EUconst_NA)</f>
        <v>1</v>
      </c>
    </row>
    <row r="1133" spans="1:78" s="142" customFormat="1" ht="12.75" hidden="1" customHeight="1" thickBot="1">
      <c r="A1133" s="808"/>
      <c r="B1133" s="166"/>
      <c r="C1133" s="777" t="s">
        <v>454</v>
      </c>
      <c r="D1133" s="512" t="str">
        <f>Translations!$B$647</f>
        <v>Netvar. BioC:</v>
      </c>
      <c r="E1133" s="513"/>
      <c r="F1133" s="597"/>
      <c r="G1133" s="1532" t="str">
        <f t="shared" si="273"/>
        <v/>
      </c>
      <c r="H1133" s="1533"/>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0"/>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0"/>
      <c r="AC1133" s="603" t="b">
        <f>AND(AC1125,Y1133&lt;&gt;EUconst_NA)</f>
        <v>0</v>
      </c>
      <c r="AD1133" s="30"/>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0"/>
      <c r="AV1133" s="613" t="b">
        <f t="shared" si="276"/>
        <v>0</v>
      </c>
      <c r="AW1133" s="614" t="b">
        <f t="shared" si="277"/>
        <v>0</v>
      </c>
      <c r="AX1133" s="30"/>
      <c r="AY1133" s="579" t="b">
        <f t="shared" si="278"/>
        <v>0</v>
      </c>
      <c r="AZ1133" s="580"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80" t="b">
        <f>OR(BZ1125,Y1133=EUconst_NA)</f>
        <v>1</v>
      </c>
    </row>
    <row r="1134" spans="1:78" s="142" customFormat="1" ht="5.0999999999999996" hidden="1" customHeight="1">
      <c r="A1134" s="808"/>
      <c r="B1134" s="166"/>
      <c r="C1134" s="166"/>
      <c r="D1134" s="180"/>
      <c r="O1134" s="733"/>
      <c r="P1134" s="33"/>
      <c r="Q1134" s="33"/>
      <c r="R1134" s="33"/>
      <c r="S1134" s="174"/>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hidden="1" customHeight="1">
      <c r="A1135" s="808"/>
      <c r="B1135" s="166"/>
      <c r="C1135" s="166"/>
      <c r="D1135" s="1558" t="str">
        <f>Translations!$B$674</f>
        <v>Pakopos galioja nuo:</v>
      </c>
      <c r="E1135" s="1558"/>
      <c r="F1135" s="1559"/>
      <c r="G1135" s="1052"/>
      <c r="H1135" s="615" t="str">
        <f>Translations!$B$675</f>
        <v>iki:</v>
      </c>
      <c r="I1135" s="1052"/>
      <c r="J1135" s="1536" t="str">
        <f>Translations!$B$676</f>
        <v>Atliekų katalogo numeris (jeigu taikytina):</v>
      </c>
      <c r="K1135" s="1537"/>
      <c r="L1135" s="1537"/>
      <c r="M1135" s="1538"/>
      <c r="N1135" s="1289"/>
      <c r="O1135" s="733"/>
      <c r="P1135" s="33"/>
      <c r="Q1135" s="33"/>
      <c r="R1135" s="33"/>
      <c r="S1135" s="1290"/>
      <c r="T1135" s="492"/>
      <c r="U1135" s="492"/>
      <c r="V1135" s="48" t="b">
        <f>IF(V1125="",FALSE,INDEX(CNTR_IsWaste,MATCH(V1125,MSParameters!$A$218:$A$376,0)))</f>
        <v>0</v>
      </c>
      <c r="W1135" s="1290"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hidden="1" customHeight="1">
      <c r="A1136" s="808"/>
      <c r="B1136" s="166"/>
      <c r="C1136" s="166"/>
      <c r="D1136" s="615"/>
      <c r="E1136" s="495"/>
      <c r="F1136" s="495"/>
      <c r="G1136" s="495"/>
      <c r="H1136" s="495"/>
      <c r="I1136" s="495"/>
      <c r="J1136" s="495"/>
      <c r="K1136" s="495"/>
      <c r="L1136" s="495"/>
      <c r="M1136" s="495"/>
      <c r="N1136" s="495"/>
      <c r="O1136" s="733"/>
      <c r="P1136" s="33"/>
      <c r="Q1136" s="33"/>
      <c r="R1136" s="33"/>
      <c r="S1136" s="174"/>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hidden="1" customHeight="1">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3"/>
      <c r="Q1137" s="33"/>
      <c r="R1137" s="33"/>
      <c r="S1137" s="174"/>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hidden="1" customHeight="1">
      <c r="A1138" s="815"/>
      <c r="D1138" s="180"/>
      <c r="O1138" s="573"/>
      <c r="P1138" s="497"/>
      <c r="Q1138" s="497"/>
      <c r="R1138" s="497"/>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hidden="1">
      <c r="A1139" s="815"/>
      <c r="D1139" s="1534" t="str">
        <f>Translations!$B$160</f>
        <v>Pastabos:</v>
      </c>
      <c r="E1139" s="1535"/>
      <c r="F1139" s="1539"/>
      <c r="G1139" s="1540"/>
      <c r="H1139" s="1540"/>
      <c r="I1139" s="1540"/>
      <c r="J1139" s="1540"/>
      <c r="K1139" s="1540"/>
      <c r="L1139" s="1540"/>
      <c r="M1139" s="1540"/>
      <c r="N1139" s="1541"/>
      <c r="O1139" s="573"/>
      <c r="P1139" s="497"/>
      <c r="Q1139" s="497"/>
      <c r="R1139" s="497"/>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c r="A1140" s="808"/>
      <c r="B1140" s="495"/>
      <c r="C1140" s="499"/>
      <c r="D1140" s="500"/>
      <c r="E1140" s="501"/>
      <c r="F1140" s="499"/>
      <c r="G1140" s="502"/>
      <c r="H1140" s="502"/>
      <c r="I1140" s="502"/>
      <c r="J1140" s="502"/>
      <c r="K1140" s="502"/>
      <c r="L1140" s="502"/>
      <c r="M1140" s="502"/>
      <c r="N1140" s="502"/>
      <c r="O1140" s="740"/>
      <c r="P1140" s="494"/>
      <c r="Q1140" s="494"/>
      <c r="R1140" s="494"/>
      <c r="S1140" s="58"/>
      <c r="T1140" s="58"/>
      <c r="U1140" s="498"/>
      <c r="V1140" s="58"/>
      <c r="W1140" s="58"/>
      <c r="X1140" s="498"/>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c r="A1141" s="813"/>
      <c r="B1141" s="495"/>
      <c r="C1141" s="495"/>
      <c r="D1141" s="180"/>
      <c r="E1141" s="496"/>
      <c r="F1141" s="495"/>
      <c r="G1141" s="487"/>
      <c r="H1141" s="487"/>
      <c r="I1141" s="487"/>
      <c r="J1141" s="487"/>
      <c r="K1141" s="495"/>
      <c r="L1141" s="487"/>
      <c r="M1141" s="487"/>
      <c r="N1141" s="487"/>
      <c r="O1141" s="740"/>
      <c r="P1141" s="494"/>
      <c r="Q1141" s="494"/>
      <c r="R1141" s="494"/>
      <c r="S1141" s="23"/>
      <c r="T1141" s="27" t="str">
        <f>IF(ISBLANK(E1142),"",MATCH(E1142,CNTR_SourceStreamNames,0))</f>
        <v/>
      </c>
      <c r="U1141" s="618"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1"/>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3" t="s">
        <v>262</v>
      </c>
    </row>
    <row r="1142" spans="1:78" s="142" customFormat="1" ht="15" hidden="1" customHeight="1" thickBot="1">
      <c r="A1142" s="869" t="str">
        <f>IF(E1142="","","PRINT")</f>
        <v/>
      </c>
      <c r="B1142" s="166"/>
      <c r="C1142" s="617">
        <f>C1115+1</f>
        <v>41</v>
      </c>
      <c r="D1142" s="166"/>
      <c r="E1142" s="1542"/>
      <c r="F1142" s="1543"/>
      <c r="G1142" s="1543"/>
      <c r="H1142" s="1543"/>
      <c r="I1142" s="1543"/>
      <c r="J1142" s="1544"/>
      <c r="K1142" s="1545" t="str">
        <f>IF(E1143="","",INDEX(EUwideConstants!$F$353:$F$394,MATCH(E1143,EUConst_TierActivityListNames,0)))</f>
        <v/>
      </c>
      <c r="L1142" s="1546"/>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3"/>
      <c r="T1142" s="509" t="s">
        <v>393</v>
      </c>
      <c r="U1142" s="23"/>
      <c r="V1142" s="78"/>
      <c r="W1142" s="56"/>
      <c r="X1142" s="58"/>
      <c r="Y1142" s="58"/>
      <c r="Z1142" s="58"/>
      <c r="AA1142" s="58"/>
      <c r="AB1142" s="58"/>
      <c r="AC1142" s="58"/>
      <c r="AD1142" s="58"/>
      <c r="AE1142" s="58"/>
      <c r="AF1142" s="58"/>
      <c r="AG1142" s="58"/>
      <c r="AH1142" s="58"/>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6"/>
      <c r="BZ1142" s="619" t="b">
        <f>CNTR_CalcRelevant=EUconst_NotRelevant</f>
        <v>0</v>
      </c>
    </row>
    <row r="1143" spans="1:78" s="142" customFormat="1" ht="15" hidden="1" customHeight="1" thickBot="1">
      <c r="A1143" s="808"/>
      <c r="B1143" s="166"/>
      <c r="C1143" s="166"/>
      <c r="D1143" s="166"/>
      <c r="E1143" s="1547" t="str">
        <f>IF(ISBLANK(E1142),"",IF(INDEX(B_InstallationDescription!$E$71:$E$145,MATCH(U1141,B_InstallationDescription!$D$71:$D$145,0))&gt;0,INDEX(B_InstallationDescription!$E$71:$E$145,MATCH(U1141,B_InstallationDescription!$D$71:$D$145,0)),""))</f>
        <v/>
      </c>
      <c r="F1143" s="1548"/>
      <c r="G1143" s="1548"/>
      <c r="H1143" s="1548"/>
      <c r="I1143" s="1548"/>
      <c r="J1143" s="1549"/>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4"/>
      <c r="AH1143" s="30"/>
      <c r="AI1143" s="30"/>
      <c r="AJ1143" s="504"/>
      <c r="AK1143" s="504"/>
      <c r="AL1143" s="342"/>
      <c r="AM1143" s="27" t="s">
        <v>308</v>
      </c>
      <c r="AN1143" s="505"/>
      <c r="AO1143" s="505"/>
      <c r="AP1143" s="30"/>
      <c r="AQ1143" s="30"/>
      <c r="AR1143" s="30"/>
      <c r="AS1143" s="30"/>
      <c r="AT1143" s="30"/>
      <c r="AU1143" s="30"/>
      <c r="AV1143" s="27" t="s">
        <v>315</v>
      </c>
      <c r="AW1143" s="30"/>
      <c r="AX1143" s="492"/>
      <c r="AY1143" s="30"/>
      <c r="AZ1143" s="30"/>
      <c r="BA1143" s="30"/>
      <c r="BB1143" s="27" t="s">
        <v>219</v>
      </c>
      <c r="BC1143" s="30"/>
      <c r="BD1143" s="30"/>
      <c r="BE1143" s="30"/>
      <c r="BF1143" s="30"/>
      <c r="BG1143" s="27"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0"/>
      <c r="BZ1143" s="30"/>
    </row>
    <row r="1144" spans="1:78" s="142" customFormat="1" ht="5.0999999999999996" hidden="1" customHeight="1">
      <c r="A1144" s="808"/>
      <c r="B1144" s="166"/>
      <c r="C1144" s="166"/>
      <c r="D1144" s="166"/>
      <c r="E1144" s="166"/>
      <c r="F1144" s="166"/>
      <c r="G1144" s="166"/>
      <c r="M1144" s="143"/>
      <c r="N1144" s="143"/>
      <c r="O1144" s="733"/>
      <c r="P1144" s="33"/>
      <c r="Q1144" s="33"/>
      <c r="R1144" s="33"/>
      <c r="S1144" s="23"/>
      <c r="T1144" s="23"/>
      <c r="U1144" s="23"/>
      <c r="V1144" s="78"/>
      <c r="W1144" s="30"/>
      <c r="X1144" s="30"/>
      <c r="Y1144" s="494"/>
      <c r="Z1144" s="30"/>
      <c r="AA1144" s="30"/>
      <c r="AB1144" s="30"/>
      <c r="AC1144" s="30"/>
      <c r="AD1144" s="30"/>
      <c r="AE1144" s="30"/>
      <c r="AF1144" s="58"/>
      <c r="AG1144" s="30"/>
      <c r="AH1144" s="30"/>
      <c r="AI1144" s="30"/>
      <c r="AJ1144" s="504"/>
      <c r="AK1144" s="504"/>
      <c r="AL1144" s="342"/>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hidden="1" customHeight="1" thickBot="1">
      <c r="A1145" s="808"/>
      <c r="B1145" s="166"/>
      <c r="C1145" s="166"/>
      <c r="D1145" s="166"/>
      <c r="E1145" s="1550" t="str">
        <f>IF(E1142="","",IF(T1143=TRUE,HYPERLINK("#JUMP_14",EUconst_MsgGoOnPFC),HYPERLINK("#JUMP_E_8",EUconst_FurtherGuidancePoint1)))</f>
        <v/>
      </c>
      <c r="F1145" s="1550"/>
      <c r="G1145" s="1550"/>
      <c r="H1145" s="1550"/>
      <c r="I1145" s="1550"/>
      <c r="J1145" s="1550"/>
      <c r="K1145" s="1550"/>
      <c r="L1145" s="1550"/>
      <c r="M1145" s="1550"/>
      <c r="N1145" s="143"/>
      <c r="O1145" s="733"/>
      <c r="P1145" s="33"/>
      <c r="Q1145" s="352" t="str">
        <f>EUconst_SumNonSustBioCO2 &amp; "_" &amp; K1142</f>
        <v>SUM_bioNonSustCO2_</v>
      </c>
      <c r="R1145" s="707"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4"/>
      <c r="AK1145" s="504"/>
      <c r="AL1145" s="342"/>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hidden="1" customHeight="1">
      <c r="A1146" s="808"/>
      <c r="B1146" s="166"/>
      <c r="C1146" s="166"/>
      <c r="D1146" s="166"/>
      <c r="E1146" s="166"/>
      <c r="F1146" s="166"/>
      <c r="G1146" s="166"/>
      <c r="M1146" s="143"/>
      <c r="N1146" s="143"/>
      <c r="O1146" s="733"/>
      <c r="P1146" s="23"/>
      <c r="Q1146" s="23"/>
      <c r="R1146" s="23"/>
      <c r="S1146" s="23"/>
      <c r="T1146" s="23"/>
      <c r="U1146" s="23"/>
      <c r="V1146" s="30"/>
      <c r="W1146" s="30"/>
      <c r="X1146" s="30"/>
      <c r="Y1146" s="494"/>
      <c r="Z1146" s="30"/>
      <c r="AA1146" s="30"/>
      <c r="AB1146" s="30"/>
      <c r="AC1146" s="30"/>
      <c r="AD1146" s="30"/>
      <c r="AE1146" s="30"/>
      <c r="AF1146" s="58"/>
      <c r="AG1146" s="30"/>
      <c r="AH1146" s="30"/>
      <c r="AI1146" s="30"/>
      <c r="AJ1146" s="504"/>
      <c r="AK1146" s="504"/>
      <c r="AL1146" s="342"/>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hidden="1" customHeight="1" thickBot="1">
      <c r="A1147" s="808"/>
      <c r="B1147" s="166"/>
      <c r="C1147" s="814" t="s">
        <v>4</v>
      </c>
      <c r="D1147" s="512" t="str">
        <f>Translations!$B$622</f>
        <v>VD:</v>
      </c>
      <c r="E1147" s="1560" t="str">
        <f>Translations!$B$667</f>
        <v>Ar veiklos duomenys gaunami sudedant išmatuotus kiekius (t. y. ne atliekant nuolatinius matavimus)?</v>
      </c>
      <c r="F1147" s="1560"/>
      <c r="G1147" s="1560"/>
      <c r="H1147" s="1560"/>
      <c r="I1147" s="1560"/>
      <c r="J1147" s="1560"/>
      <c r="K1147" s="1560"/>
      <c r="L1147" s="1179"/>
      <c r="M1147" s="507"/>
      <c r="O1147" s="733"/>
      <c r="P1147" s="23"/>
      <c r="Q1147" s="23"/>
      <c r="R1147" s="23"/>
      <c r="S1147" s="23"/>
      <c r="T1147" s="23"/>
      <c r="U1147" s="23"/>
      <c r="V1147" s="30"/>
      <c r="W1147" s="30"/>
      <c r="X1147" s="30"/>
      <c r="Y1147" s="494"/>
      <c r="Z1147" s="30"/>
      <c r="AA1147" s="30"/>
      <c r="AB1147" s="30"/>
      <c r="AC1147" s="1172" t="b">
        <f>AND(E1142&lt;&gt;"",T1143&lt;&gt;TRUE)</f>
        <v>0</v>
      </c>
      <c r="AD1147" s="30"/>
      <c r="AE1147" s="30"/>
      <c r="AF1147" s="58"/>
      <c r="AG1147" s="30"/>
      <c r="AH1147" s="30"/>
      <c r="AI1147" s="30"/>
      <c r="AJ1147" s="504"/>
      <c r="AK1147" s="504"/>
      <c r="AL1147" s="342"/>
      <c r="AM1147" s="30"/>
      <c r="AN1147" s="30"/>
      <c r="AO1147" s="30"/>
      <c r="AP1147" s="30"/>
      <c r="AQ1147" s="30"/>
      <c r="AR1147" s="30"/>
      <c r="AS1147" s="30"/>
      <c r="AT1147" s="1172"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2" t="b">
        <f>OR(CNTR_CalcRelevant=EUconst_NotRelevant,AND(COUNTA(CNTR_ListRelevantSections)&gt;0,OR(T1143=TRUE,E1142="")))</f>
        <v>1</v>
      </c>
    </row>
    <row r="1148" spans="1:78" s="142" customFormat="1" ht="5.0999999999999996" hidden="1" customHeight="1">
      <c r="A1148" s="808"/>
      <c r="B1148" s="166"/>
      <c r="C1148" s="166"/>
      <c r="D1148" s="166"/>
      <c r="E1148" s="166"/>
      <c r="F1148" s="166"/>
      <c r="G1148" s="166"/>
      <c r="H1148" s="495"/>
      <c r="I1148" s="495"/>
      <c r="J1148" s="495"/>
      <c r="K1148" s="495"/>
      <c r="L1148" s="495"/>
      <c r="M1148" s="507"/>
      <c r="O1148" s="733"/>
      <c r="P1148" s="23"/>
      <c r="Q1148" s="23"/>
      <c r="R1148" s="23"/>
      <c r="S1148" s="23"/>
      <c r="T1148" s="23"/>
      <c r="U1148" s="23"/>
      <c r="V1148" s="30"/>
      <c r="W1148" s="30"/>
      <c r="X1148" s="30"/>
      <c r="Y1148" s="494"/>
      <c r="Z1148" s="30"/>
      <c r="AA1148" s="30"/>
      <c r="AB1148" s="30"/>
      <c r="AC1148" s="492"/>
      <c r="AD1148" s="30"/>
      <c r="AE1148" s="30"/>
      <c r="AF1148" s="58"/>
      <c r="AG1148" s="30"/>
      <c r="AH1148" s="30"/>
      <c r="AI1148" s="30"/>
      <c r="AJ1148" s="504"/>
      <c r="AK1148" s="504"/>
      <c r="AL1148" s="342"/>
      <c r="AM1148" s="30"/>
      <c r="AN1148" s="30"/>
      <c r="AO1148" s="30"/>
      <c r="AP1148" s="30"/>
      <c r="AQ1148" s="30"/>
      <c r="AR1148" s="30"/>
      <c r="AS1148" s="30"/>
      <c r="AT1148" s="492"/>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2"/>
    </row>
    <row r="1149" spans="1:78" s="142" customFormat="1" ht="12.75" hidden="1" customHeight="1" thickBot="1">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3"/>
      <c r="Q1149" s="23"/>
      <c r="R1149" s="23"/>
      <c r="S1149" s="23"/>
      <c r="T1149" s="23"/>
      <c r="U1149" s="23"/>
      <c r="V1149" s="30"/>
      <c r="W1149" s="30"/>
      <c r="X1149" s="30"/>
      <c r="Y1149" s="494"/>
      <c r="Z1149" s="30"/>
      <c r="AA1149" s="30"/>
      <c r="AB1149" s="30"/>
      <c r="AC1149" s="1172" t="b">
        <f>AC1147</f>
        <v>0</v>
      </c>
      <c r="AD1149" s="30"/>
      <c r="AE1149" s="30"/>
      <c r="AF1149" s="58"/>
      <c r="AG1149" s="30"/>
      <c r="AH1149" s="30"/>
      <c r="AI1149" s="30"/>
      <c r="AJ1149" s="504"/>
      <c r="AK1149" s="504"/>
      <c r="AL1149" s="342"/>
      <c r="AM1149" s="30"/>
      <c r="AN1149" s="30"/>
      <c r="AO1149" s="30"/>
      <c r="AP1149" s="30"/>
      <c r="AQ1149" s="30"/>
      <c r="AR1149" s="30"/>
      <c r="AS1149" s="30"/>
      <c r="AT1149" s="1172"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2" t="b">
        <f>OR(BZ1147,AND(NOT(ISBLANK(L1147)),L1147=FALSE))</f>
        <v>1</v>
      </c>
    </row>
    <row r="1150" spans="1:78" s="142" customFormat="1" ht="5.0999999999999996" hidden="1" customHeight="1">
      <c r="A1150" s="808"/>
      <c r="B1150" s="166"/>
      <c r="C1150" s="166"/>
      <c r="D1150" s="166"/>
      <c r="E1150" s="166"/>
      <c r="F1150" s="166"/>
      <c r="G1150" s="166"/>
      <c r="M1150" s="143"/>
      <c r="N1150" s="143"/>
      <c r="O1150" s="733"/>
      <c r="P1150" s="23"/>
      <c r="Q1150" s="23"/>
      <c r="R1150" s="23"/>
      <c r="S1150" s="23"/>
      <c r="T1150" s="23"/>
      <c r="U1150" s="23"/>
      <c r="V1150" s="30"/>
      <c r="W1150" s="30"/>
      <c r="X1150" s="30"/>
      <c r="Y1150" s="494"/>
      <c r="Z1150" s="30"/>
      <c r="AA1150" s="30"/>
      <c r="AB1150" s="30"/>
      <c r="AC1150" s="30"/>
      <c r="AD1150" s="30"/>
      <c r="AE1150" s="30"/>
      <c r="AF1150" s="58"/>
      <c r="AG1150" s="30"/>
      <c r="AH1150" s="30"/>
      <c r="AI1150" s="30"/>
      <c r="AJ1150" s="504"/>
      <c r="AK1150" s="504"/>
      <c r="AL1150" s="342"/>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hidden="1" customHeight="1" thickBot="1">
      <c r="A1151" s="808"/>
      <c r="B1151" s="166"/>
      <c r="C1151" s="166"/>
      <c r="D1151" s="166"/>
      <c r="E1151" s="166"/>
      <c r="F1151" s="506" t="str">
        <f>Translations!$B$333</f>
        <v>Pakopa</v>
      </c>
      <c r="G1151" s="1557" t="str">
        <f>Translations!$B$672</f>
        <v>pakopos aprašas</v>
      </c>
      <c r="H1151" s="1557"/>
      <c r="I1151" s="1555" t="str">
        <f>Translations!$B$158</f>
        <v>Vienetas</v>
      </c>
      <c r="J1151" s="1555"/>
      <c r="K1151" s="1555" t="str">
        <f>Translations!$B$673</f>
        <v>Vertė</v>
      </c>
      <c r="L1151" s="1555"/>
      <c r="M1151" s="507" t="str">
        <f>Translations!$B$610</f>
        <v>klaida</v>
      </c>
      <c r="O1151" s="733"/>
      <c r="P1151" s="508"/>
      <c r="Q1151" s="352" t="str">
        <f>EUconst_SumEnergyIN &amp; "_" &amp; K1142</f>
        <v>SUM_EnergyIN_</v>
      </c>
      <c r="R1151" s="399" t="str">
        <f>IF(OR(K1142="",T1143)=TRUE,"",INDEX(BC1157:BE1157,MATCH(K1142,BC1152:BE1152,0)))</f>
        <v/>
      </c>
      <c r="S1151" s="30"/>
      <c r="T1151" s="489"/>
      <c r="U1151" s="30"/>
      <c r="V1151" s="509" t="s">
        <v>303</v>
      </c>
      <c r="W1151" s="30"/>
      <c r="X1151" s="30"/>
      <c r="Y1151" s="494" t="s">
        <v>566</v>
      </c>
      <c r="Z1151" s="494" t="s">
        <v>318</v>
      </c>
      <c r="AA1151" s="30"/>
      <c r="AB1151" s="30"/>
      <c r="AC1151" s="505" t="s">
        <v>309</v>
      </c>
      <c r="AD1151" s="30"/>
      <c r="AE1151" s="30"/>
      <c r="AF1151" s="492" t="s">
        <v>305</v>
      </c>
      <c r="AG1151" s="492" t="s">
        <v>306</v>
      </c>
      <c r="AH1151" s="494" t="s">
        <v>304</v>
      </c>
      <c r="AI1151" s="504" t="s">
        <v>307</v>
      </c>
      <c r="AJ1151" s="504" t="s">
        <v>567</v>
      </c>
      <c r="AK1151" s="510" t="s">
        <v>311</v>
      </c>
      <c r="AL1151" s="342"/>
      <c r="AM1151" s="30"/>
      <c r="AN1151" s="492" t="s">
        <v>305</v>
      </c>
      <c r="AO1151" s="492" t="s">
        <v>306</v>
      </c>
      <c r="AP1151" s="511" t="s">
        <v>310</v>
      </c>
      <c r="AQ1151" s="504" t="s">
        <v>569</v>
      </c>
      <c r="AR1151" s="504" t="s">
        <v>568</v>
      </c>
      <c r="AS1151" s="510" t="s">
        <v>609</v>
      </c>
      <c r="AT1151" s="510" t="s">
        <v>609</v>
      </c>
      <c r="AU1151" s="30"/>
      <c r="AV1151" s="492"/>
      <c r="AW1151" s="492"/>
      <c r="AX1151" s="492" t="s">
        <v>321</v>
      </c>
      <c r="AY1151" s="492"/>
      <c r="AZ1151" s="492"/>
      <c r="BA1151" s="492"/>
      <c r="BB1151" s="492"/>
      <c r="BC1151" s="492"/>
      <c r="BD1151" s="492"/>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3" t="s">
        <v>262</v>
      </c>
    </row>
    <row r="1152" spans="1:78" s="142" customFormat="1" ht="12.75" hidden="1" customHeight="1" thickBot="1">
      <c r="A1152" s="808"/>
      <c r="B1152" s="166"/>
      <c r="C1152" s="777" t="s">
        <v>196</v>
      </c>
      <c r="D1152" s="512" t="str">
        <f>Translations!$B$622</f>
        <v>VD:</v>
      </c>
      <c r="E1152" s="513"/>
      <c r="F1152" s="402"/>
      <c r="G1152" s="1532" t="str">
        <f>IF(OR(ISBLANK(F1152),F1152=EUconst_NoTier),"",IF(Z1152=0,EUconst_NA,IF(ISERROR(Z1152),"",Z1152)))</f>
        <v/>
      </c>
      <c r="H1152" s="1533"/>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0"/>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0"/>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0"/>
      <c r="AV1152" s="492" t="s">
        <v>314</v>
      </c>
      <c r="AW1152" s="492" t="s">
        <v>319</v>
      </c>
      <c r="AX1152" s="524"/>
      <c r="AY1152" s="30" t="s">
        <v>542</v>
      </c>
      <c r="AZ1152" s="30"/>
      <c r="BA1152" s="30"/>
      <c r="BB1152" s="504"/>
      <c r="BC1152" s="493" t="str">
        <f>EUconst_Fuel</f>
        <v>Degimas</v>
      </c>
      <c r="BD1152" s="493" t="str">
        <f>EUconst_ProcessCarbonate</f>
        <v>Proceso metu išsiskiriančios ŠESD</v>
      </c>
      <c r="BE1152" s="493"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4" t="b">
        <f>BZ1147</f>
        <v>1</v>
      </c>
    </row>
    <row r="1153" spans="1:78" s="142" customFormat="1" ht="4.5" hidden="1" customHeight="1">
      <c r="A1153" s="808"/>
      <c r="B1153" s="166"/>
      <c r="C1153" s="814"/>
      <c r="D1153" s="306"/>
      <c r="F1153" s="143"/>
      <c r="G1153" s="143"/>
      <c r="H1153" s="143" t="s">
        <v>236</v>
      </c>
      <c r="I1153" s="525"/>
      <c r="J1153" s="525"/>
      <c r="K1153" s="143"/>
      <c r="L1153" s="143"/>
      <c r="M1153" s="710"/>
      <c r="O1153" s="733"/>
      <c r="P1153" s="33"/>
      <c r="Q1153" s="33"/>
      <c r="R1153" s="33"/>
      <c r="S1153" s="30"/>
      <c r="T1153" s="155"/>
      <c r="U1153" s="497"/>
      <c r="V1153" s="30"/>
      <c r="W1153" s="30"/>
      <c r="X1153" s="497"/>
      <c r="Y1153" s="526"/>
      <c r="Z1153" s="30"/>
      <c r="AA1153" s="30"/>
      <c r="AB1153" s="30"/>
      <c r="AC1153" s="30"/>
      <c r="AD1153" s="30"/>
      <c r="AE1153" s="30"/>
      <c r="AF1153" s="30"/>
      <c r="AG1153" s="30"/>
      <c r="AH1153" s="30"/>
      <c r="AI1153" s="30"/>
      <c r="AJ1153" s="30"/>
      <c r="AK1153" s="30"/>
      <c r="AL1153" s="342"/>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3"/>
    </row>
    <row r="1154" spans="1:78" s="142" customFormat="1" ht="12.75" hidden="1" customHeight="1" thickBot="1">
      <c r="A1154" s="808"/>
      <c r="B1154" s="166"/>
      <c r="C1154" s="814" t="s">
        <v>197</v>
      </c>
      <c r="D1154" s="512" t="str">
        <f>Translations!$B$634</f>
        <v>(prelim.) ITF:</v>
      </c>
      <c r="E1154" s="513"/>
      <c r="F1154" s="527"/>
      <c r="G1154" s="1532" t="str">
        <f t="shared" ref="G1154:G1160" si="280">IF(OR(ISBLANK(F1154),F1154=EUconst_NoTier),"",IF(Z1154=0,EUconst_NotApplicable,IF(ISERROR(Z1154),"",Z1154)))</f>
        <v/>
      </c>
      <c r="H1154" s="1556"/>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3"/>
      <c r="Q1154" s="33"/>
      <c r="R1154" s="33"/>
      <c r="S1154" s="30"/>
      <c r="T1154" s="530" t="str">
        <f>EUconst_CNTR_EF&amp;E1143</f>
        <v>EF_</v>
      </c>
      <c r="U1154" s="497"/>
      <c r="V1154" s="531" t="str">
        <f>V1152</f>
        <v/>
      </c>
      <c r="W1154" s="30"/>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0"/>
      <c r="AC1154" s="535" t="b">
        <f>AND(AC1152,Y1154&lt;&gt;EUconst_NA)</f>
        <v>0</v>
      </c>
      <c r="AD1154" s="30"/>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0"/>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0"/>
      <c r="BA1154" s="30"/>
      <c r="BB1154" s="547" t="s">
        <v>594</v>
      </c>
      <c r="BC1154" s="546" t="str">
        <f>IF(K1142=BC1152,AR1152*IF(AJ1154=EUconst_tCO2pTJ,(AR1155/1000),1)*AR1154*AR1156*AR1160,"")</f>
        <v/>
      </c>
      <c r="BD1154" s="524" t="str">
        <f>IF(K1142=BD1152,AR1152*AR1154*AR1157*AR1160,"")</f>
        <v/>
      </c>
      <c r="BE1154" s="523"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1" t="b">
        <f>OR(BZ1152,Y1154=EUconst_NA)</f>
        <v>1</v>
      </c>
    </row>
    <row r="1155" spans="1:78" s="142" customFormat="1" ht="12.75" hidden="1" customHeight="1" thickBot="1">
      <c r="A1155" s="808"/>
      <c r="B1155" s="166"/>
      <c r="C1155" s="814" t="s">
        <v>198</v>
      </c>
      <c r="D1155" s="512" t="str">
        <f>Translations!$B$636</f>
        <v>GŠV:</v>
      </c>
      <c r="E1155" s="513"/>
      <c r="F1155" s="548"/>
      <c r="G1155" s="1532" t="str">
        <f t="shared" si="280"/>
        <v/>
      </c>
      <c r="H1155" s="1533"/>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3"/>
      <c r="Q1155" s="33"/>
      <c r="R1155" s="33"/>
      <c r="S1155" s="30"/>
      <c r="T1155" s="552" t="str">
        <f>EUconst_CNTR_NCV&amp;E1143</f>
        <v>NCV_</v>
      </c>
      <c r="U1155" s="497"/>
      <c r="V1155" s="553" t="str">
        <f t="shared" ref="V1155:V1160" si="286">V1154</f>
        <v/>
      </c>
      <c r="W1155" s="30"/>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0"/>
      <c r="AC1155" s="557" t="b">
        <f>AND(AC1152,Y1155&lt;&gt;EUconst_NA)</f>
        <v>0</v>
      </c>
      <c r="AD1155" s="30"/>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0"/>
      <c r="AV1155" s="567" t="b">
        <f t="shared" si="283"/>
        <v>0</v>
      </c>
      <c r="AW1155" s="568" t="b">
        <f t="shared" si="284"/>
        <v>0</v>
      </c>
      <c r="AX1155" s="30"/>
      <c r="AY1155" s="553" t="b">
        <f t="shared" si="285"/>
        <v>0</v>
      </c>
      <c r="AZ1155" s="30"/>
      <c r="BA1155" s="30"/>
      <c r="BB1155" s="547" t="s">
        <v>595</v>
      </c>
      <c r="BC1155" s="546" t="str">
        <f>IF(K1142=BC1152,AR1152*IF(AJ1154=EUconst_tCO2pTJ,(AR1155/1000),1)*AR1154*AR1156*AR1159,"")</f>
        <v/>
      </c>
      <c r="BD1155" s="524" t="str">
        <f>IF(K1142=BD1152,AR1152*AR1154*AR1157*AR1159,"")</f>
        <v/>
      </c>
      <c r="BE1155" s="523"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3" t="b">
        <f>OR(BZ1152,Y1155=EUconst_NA)</f>
        <v>1</v>
      </c>
    </row>
    <row r="1156" spans="1:78" s="142" customFormat="1" ht="12.75" hidden="1" customHeight="1" thickBot="1">
      <c r="A1156" s="808"/>
      <c r="B1156" s="166"/>
      <c r="C1156" s="814" t="s">
        <v>199</v>
      </c>
      <c r="D1156" s="512" t="str">
        <f>Translations!$B$638</f>
        <v>OksK:</v>
      </c>
      <c r="E1156" s="513"/>
      <c r="F1156" s="548"/>
      <c r="G1156" s="1532" t="str">
        <f t="shared" si="280"/>
        <v/>
      </c>
      <c r="H1156" s="1533"/>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3"/>
      <c r="Q1156" s="33"/>
      <c r="R1156" s="33"/>
      <c r="S1156" s="30"/>
      <c r="T1156" s="552" t="str">
        <f>EUconst_CNTR_OxidationFactor&amp;E1143</f>
        <v>OxF_</v>
      </c>
      <c r="U1156" s="497"/>
      <c r="V1156" s="553" t="str">
        <f t="shared" si="286"/>
        <v/>
      </c>
      <c r="W1156" s="30"/>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0"/>
      <c r="AC1156" s="557" t="b">
        <f>AND(AC1152,Y1156&lt;&gt;EUconst_NA)</f>
        <v>0</v>
      </c>
      <c r="AD1156" s="30"/>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0"/>
      <c r="AV1156" s="567" t="b">
        <f t="shared" si="283"/>
        <v>0</v>
      </c>
      <c r="AW1156" s="568" t="b">
        <f t="shared" si="284"/>
        <v>0</v>
      </c>
      <c r="AX1156" s="30"/>
      <c r="AY1156" s="594" t="b">
        <f t="shared" si="285"/>
        <v>0</v>
      </c>
      <c r="AZ1156" s="531" t="b">
        <f>AR1156&gt;100%</f>
        <v>0</v>
      </c>
      <c r="BA1156" s="30"/>
      <c r="BB1156" s="547" t="s">
        <v>290</v>
      </c>
      <c r="BC1156" s="546" t="str">
        <f>IF(K1142=BC1152,AR1152*IF(AJ1154=EUconst_tCO2pTJ,(AR1155/1000),1)*AR1154*AR1156*(1-AR1159),"")</f>
        <v/>
      </c>
      <c r="BD1156" s="524" t="str">
        <f>IF(K1142=BD1152,AR1152*AR1154*AR1157*(1-AR1159),"")</f>
        <v/>
      </c>
      <c r="BE1156" s="523"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3" t="b">
        <f>OR(BZ1152,Y1156=EUconst_NA)</f>
        <v>1</v>
      </c>
    </row>
    <row r="1157" spans="1:78" s="142" customFormat="1" ht="12.75" hidden="1" customHeight="1" thickBot="1">
      <c r="A1157" s="808"/>
      <c r="B1157" s="166"/>
      <c r="C1157" s="814" t="s">
        <v>200</v>
      </c>
      <c r="D1157" s="512" t="str">
        <f>Translations!$B$639</f>
        <v>KonvK:</v>
      </c>
      <c r="E1157" s="513"/>
      <c r="F1157" s="548"/>
      <c r="G1157" s="1532" t="str">
        <f t="shared" si="280"/>
        <v/>
      </c>
      <c r="H1157" s="1533"/>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3"/>
      <c r="Q1157" s="33"/>
      <c r="R1157" s="33"/>
      <c r="S1157" s="30"/>
      <c r="T1157" s="552" t="str">
        <f>EUconst_CNTR_ConversionFactor&amp;E1143</f>
        <v>ConvF_</v>
      </c>
      <c r="U1157" s="497"/>
      <c r="V1157" s="553" t="str">
        <f t="shared" si="286"/>
        <v/>
      </c>
      <c r="W1157" s="30"/>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0"/>
      <c r="AC1157" s="557" t="b">
        <f>AND(AC1152,Y1157&lt;&gt;EUconst_NA)</f>
        <v>0</v>
      </c>
      <c r="AD1157" s="30"/>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0"/>
      <c r="AV1157" s="567" t="b">
        <f t="shared" si="283"/>
        <v>0</v>
      </c>
      <c r="AW1157" s="568" t="b">
        <f t="shared" si="284"/>
        <v>0</v>
      </c>
      <c r="AX1157" s="30"/>
      <c r="AY1157" s="594" t="b">
        <f t="shared" si="285"/>
        <v>0</v>
      </c>
      <c r="AZ1157" s="580" t="b">
        <f>AR1157&gt;100%</f>
        <v>0</v>
      </c>
      <c r="BA1157" s="30"/>
      <c r="BB1157" s="578" t="s">
        <v>487</v>
      </c>
      <c r="BC1157" s="579">
        <f>AR1152*AR1155/1000*(1-AR1159)</f>
        <v>0</v>
      </c>
      <c r="BD1157" s="580">
        <f>BC1157</f>
        <v>0</v>
      </c>
      <c r="BE1157" s="581">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3" t="b">
        <f>OR(BZ1152,Y1157=EUconst_NA)</f>
        <v>1</v>
      </c>
    </row>
    <row r="1158" spans="1:78" s="142" customFormat="1" ht="12.75" hidden="1" customHeight="1" thickBot="1">
      <c r="A1158" s="808"/>
      <c r="B1158" s="166"/>
      <c r="C1158" s="814" t="s">
        <v>329</v>
      </c>
      <c r="D1158" s="512" t="str">
        <f>Translations!$B$640</f>
        <v>AnglK:</v>
      </c>
      <c r="E1158" s="513"/>
      <c r="F1158" s="548"/>
      <c r="G1158" s="1532" t="str">
        <f t="shared" si="280"/>
        <v/>
      </c>
      <c r="H1158" s="1533"/>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3"/>
      <c r="Q1158" s="33"/>
      <c r="R1158" s="33"/>
      <c r="S1158" s="30"/>
      <c r="T1158" s="552" t="str">
        <f>EUconst_CNTR_CarbonContent&amp;E1143</f>
        <v>CarbC_</v>
      </c>
      <c r="U1158" s="497"/>
      <c r="V1158" s="553" t="str">
        <f t="shared" si="286"/>
        <v/>
      </c>
      <c r="W1158" s="30"/>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0"/>
      <c r="AC1158" s="557" t="b">
        <f>AND(AC1152,Y1158&lt;&gt;EUconst_NA)</f>
        <v>0</v>
      </c>
      <c r="AD1158" s="30"/>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0"/>
      <c r="AV1158" s="567" t="b">
        <f t="shared" si="283"/>
        <v>0</v>
      </c>
      <c r="AW1158" s="568" t="b">
        <f t="shared" si="284"/>
        <v>0</v>
      </c>
      <c r="AX1158" s="546" t="b">
        <f>OR(AND(AJ1152=EUconst_kNm3,AJ1158=EUconst_tCpt),AND(AJ1152=EUconst_t,AJ1158=EUconst_tCpkNm3))</f>
        <v>0</v>
      </c>
      <c r="AY1158" s="553" t="b">
        <f t="shared" si="285"/>
        <v>0</v>
      </c>
      <c r="AZ1158" s="30"/>
      <c r="BA1158" s="30"/>
      <c r="BB1158" s="578" t="s">
        <v>488</v>
      </c>
      <c r="BC1158" s="579">
        <f>AR1152*AR1155/1000*AR1159</f>
        <v>0</v>
      </c>
      <c r="BD1158" s="580">
        <f>BC1158</f>
        <v>0</v>
      </c>
      <c r="BE1158" s="581">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3" t="b">
        <f>OR(BZ1152,Y1158=EUconst_NA)</f>
        <v>1</v>
      </c>
    </row>
    <row r="1159" spans="1:78" s="142" customFormat="1" ht="12.75" hidden="1" customHeight="1">
      <c r="A1159" s="808"/>
      <c r="B1159" s="166"/>
      <c r="C1159" s="777" t="s">
        <v>330</v>
      </c>
      <c r="D1159" s="512" t="str">
        <f>Translations!$B$641</f>
        <v>BioC:</v>
      </c>
      <c r="E1159" s="513"/>
      <c r="F1159" s="548"/>
      <c r="G1159" s="1532" t="str">
        <f t="shared" si="280"/>
        <v/>
      </c>
      <c r="H1159" s="1533"/>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0"/>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0"/>
      <c r="AC1159" s="557" t="b">
        <f>AND(AC1152,Y1159&lt;&gt;EUconst_NA)</f>
        <v>0</v>
      </c>
      <c r="AD1159" s="30"/>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0"/>
      <c r="AV1159" s="567" t="b">
        <f t="shared" si="283"/>
        <v>0</v>
      </c>
      <c r="AW1159" s="568" t="b">
        <f t="shared" si="284"/>
        <v>0</v>
      </c>
      <c r="AX1159" s="30"/>
      <c r="AY1159" s="594" t="b">
        <f t="shared" si="285"/>
        <v>0</v>
      </c>
      <c r="AZ1159" s="531"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3" t="b">
        <f>OR(BZ1152,Y1159=EUconst_NA)</f>
        <v>1</v>
      </c>
    </row>
    <row r="1160" spans="1:78" s="142" customFormat="1" ht="12.75" hidden="1" customHeight="1" thickBot="1">
      <c r="A1160" s="808"/>
      <c r="B1160" s="166"/>
      <c r="C1160" s="777" t="s">
        <v>454</v>
      </c>
      <c r="D1160" s="512" t="str">
        <f>Translations!$B$647</f>
        <v>Netvar. BioC:</v>
      </c>
      <c r="E1160" s="513"/>
      <c r="F1160" s="597"/>
      <c r="G1160" s="1532" t="str">
        <f t="shared" si="280"/>
        <v/>
      </c>
      <c r="H1160" s="1533"/>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0"/>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0"/>
      <c r="AC1160" s="603" t="b">
        <f>AND(AC1152,Y1160&lt;&gt;EUconst_NA)</f>
        <v>0</v>
      </c>
      <c r="AD1160" s="30"/>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0"/>
      <c r="AV1160" s="613" t="b">
        <f t="shared" si="283"/>
        <v>0</v>
      </c>
      <c r="AW1160" s="614" t="b">
        <f t="shared" si="284"/>
        <v>0</v>
      </c>
      <c r="AX1160" s="30"/>
      <c r="AY1160" s="579" t="b">
        <f t="shared" si="285"/>
        <v>0</v>
      </c>
      <c r="AZ1160" s="580"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80" t="b">
        <f>OR(BZ1152,Y1160=EUconst_NA)</f>
        <v>1</v>
      </c>
    </row>
    <row r="1161" spans="1:78" s="142" customFormat="1" ht="4.5" hidden="1" customHeight="1">
      <c r="A1161" s="808"/>
      <c r="B1161" s="166"/>
      <c r="C1161" s="166"/>
      <c r="D1161" s="180"/>
      <c r="O1161" s="733"/>
      <c r="P1161" s="33"/>
      <c r="Q1161" s="33"/>
      <c r="R1161" s="33"/>
      <c r="S1161" s="174"/>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hidden="1" customHeight="1">
      <c r="A1162" s="808"/>
      <c r="B1162" s="166"/>
      <c r="C1162" s="166"/>
      <c r="D1162" s="1558" t="str">
        <f>Translations!$B$674</f>
        <v>Pakopos galioja nuo:</v>
      </c>
      <c r="E1162" s="1558"/>
      <c r="F1162" s="1559"/>
      <c r="G1162" s="1052"/>
      <c r="H1162" s="615" t="str">
        <f>Translations!$B$675</f>
        <v>iki:</v>
      </c>
      <c r="I1162" s="1052"/>
      <c r="J1162" s="1536" t="str">
        <f>Translations!$B$676</f>
        <v>Atliekų katalogo numeris (jeigu taikytina):</v>
      </c>
      <c r="K1162" s="1537"/>
      <c r="L1162" s="1537"/>
      <c r="M1162" s="1538"/>
      <c r="N1162" s="1289"/>
      <c r="O1162" s="733"/>
      <c r="P1162" s="33"/>
      <c r="Q1162" s="33"/>
      <c r="R1162" s="33"/>
      <c r="S1162" s="1290"/>
      <c r="T1162" s="492"/>
      <c r="U1162" s="492"/>
      <c r="V1162" s="48" t="b">
        <f>IF(V1152="",FALSE,INDEX(CNTR_IsWaste,MATCH(V1152,MSParameters!$A$218:$A$376,0)))</f>
        <v>0</v>
      </c>
      <c r="W1162" s="1290"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4.5" hidden="1" customHeight="1">
      <c r="A1163" s="808"/>
      <c r="B1163" s="166"/>
      <c r="C1163" s="166"/>
      <c r="D1163" s="615"/>
      <c r="E1163" s="495"/>
      <c r="F1163" s="495"/>
      <c r="G1163" s="495"/>
      <c r="H1163" s="495"/>
      <c r="I1163" s="495"/>
      <c r="J1163" s="495"/>
      <c r="K1163" s="495"/>
      <c r="L1163" s="495"/>
      <c r="M1163" s="495"/>
      <c r="N1163" s="495"/>
      <c r="O1163" s="733"/>
      <c r="P1163" s="33"/>
      <c r="Q1163" s="33"/>
      <c r="R1163" s="33"/>
      <c r="S1163" s="174"/>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hidden="1" customHeight="1">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3"/>
      <c r="Q1164" s="33"/>
      <c r="R1164" s="33"/>
      <c r="S1164" s="174"/>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hidden="1" customHeight="1">
      <c r="A1165" s="815"/>
      <c r="D1165" s="180"/>
      <c r="O1165" s="573"/>
      <c r="P1165" s="497"/>
      <c r="Q1165" s="497"/>
      <c r="R1165" s="497"/>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hidden="1">
      <c r="A1166" s="815"/>
      <c r="D1166" s="1534" t="str">
        <f>Translations!$B$160</f>
        <v>Pastabos:</v>
      </c>
      <c r="E1166" s="1535"/>
      <c r="F1166" s="1539"/>
      <c r="G1166" s="1540"/>
      <c r="H1166" s="1540"/>
      <c r="I1166" s="1540"/>
      <c r="J1166" s="1540"/>
      <c r="K1166" s="1540"/>
      <c r="L1166" s="1540"/>
      <c r="M1166" s="1540"/>
      <c r="N1166" s="1541"/>
      <c r="O1166" s="573"/>
      <c r="P1166" s="497"/>
      <c r="Q1166" s="497"/>
      <c r="R1166" s="497"/>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c r="A1167" s="808"/>
      <c r="B1167" s="495"/>
      <c r="C1167" s="499"/>
      <c r="D1167" s="500"/>
      <c r="E1167" s="501"/>
      <c r="F1167" s="499"/>
      <c r="G1167" s="502"/>
      <c r="H1167" s="502"/>
      <c r="I1167" s="502"/>
      <c r="J1167" s="502"/>
      <c r="K1167" s="502"/>
      <c r="L1167" s="502"/>
      <c r="M1167" s="502"/>
      <c r="N1167" s="502"/>
      <c r="O1167" s="740"/>
      <c r="P1167" s="494"/>
      <c r="Q1167" s="494"/>
      <c r="R1167" s="494"/>
      <c r="S1167" s="58"/>
      <c r="T1167" s="58"/>
      <c r="U1167" s="498"/>
      <c r="V1167" s="58"/>
      <c r="W1167" s="58"/>
      <c r="X1167" s="498"/>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0.5" hidden="1" customHeight="1" thickBot="1">
      <c r="A1168" s="813"/>
      <c r="B1168" s="495"/>
      <c r="C1168" s="495"/>
      <c r="D1168" s="180"/>
      <c r="E1168" s="496"/>
      <c r="F1168" s="495"/>
      <c r="G1168" s="487"/>
      <c r="H1168" s="487"/>
      <c r="I1168" s="487"/>
      <c r="J1168" s="487"/>
      <c r="K1168" s="495"/>
      <c r="L1168" s="487"/>
      <c r="M1168" s="487"/>
      <c r="N1168" s="487"/>
      <c r="O1168" s="740"/>
      <c r="P1168" s="494"/>
      <c r="Q1168" s="494"/>
      <c r="R1168" s="494"/>
      <c r="S1168" s="23"/>
      <c r="T1168" s="27" t="str">
        <f>IF(ISBLANK(E1169),"",MATCH(E1169,CNTR_SourceStreamNames,0))</f>
        <v/>
      </c>
      <c r="U1168" s="618"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1"/>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3" t="s">
        <v>262</v>
      </c>
    </row>
    <row r="1169" spans="1:78" s="142" customFormat="1" ht="15" hidden="1" customHeight="1" thickBot="1">
      <c r="A1169" s="869" t="str">
        <f>IF(E1169="","","PRINT")</f>
        <v/>
      </c>
      <c r="B1169" s="166"/>
      <c r="C1169" s="617">
        <f>C1142+1</f>
        <v>42</v>
      </c>
      <c r="D1169" s="166"/>
      <c r="E1169" s="1542"/>
      <c r="F1169" s="1543"/>
      <c r="G1169" s="1543"/>
      <c r="H1169" s="1543"/>
      <c r="I1169" s="1543"/>
      <c r="J1169" s="1544"/>
      <c r="K1169" s="1545" t="str">
        <f>IF(E1170="","",INDEX(EUwideConstants!$F$353:$F$394,MATCH(E1170,EUConst_TierActivityListNames,0)))</f>
        <v/>
      </c>
      <c r="L1169" s="1546"/>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3"/>
      <c r="T1169" s="509" t="s">
        <v>393</v>
      </c>
      <c r="U1169" s="23"/>
      <c r="V1169" s="78"/>
      <c r="W1169" s="56"/>
      <c r="X1169" s="58"/>
      <c r="Y1169" s="58"/>
      <c r="Z1169" s="58"/>
      <c r="AA1169" s="58"/>
      <c r="AB1169" s="58"/>
      <c r="AC1169" s="58"/>
      <c r="AD1169" s="58"/>
      <c r="AE1169" s="58"/>
      <c r="AF1169" s="58"/>
      <c r="AG1169" s="58"/>
      <c r="AH1169" s="58"/>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6"/>
      <c r="BZ1169" s="619" t="b">
        <f>CNTR_CalcRelevant=EUconst_NotRelevant</f>
        <v>0</v>
      </c>
    </row>
    <row r="1170" spans="1:78" s="142" customFormat="1" ht="15" hidden="1" customHeight="1" thickBot="1">
      <c r="A1170" s="808"/>
      <c r="B1170" s="166"/>
      <c r="C1170" s="166"/>
      <c r="D1170" s="166"/>
      <c r="E1170" s="1547" t="str">
        <f>IF(ISBLANK(E1169),"",IF(INDEX(B_InstallationDescription!$E$71:$E$145,MATCH(U1168,B_InstallationDescription!$D$71:$D$145,0))&gt;0,INDEX(B_InstallationDescription!$E$71:$E$145,MATCH(U1168,B_InstallationDescription!$D$71:$D$145,0)),""))</f>
        <v/>
      </c>
      <c r="F1170" s="1548"/>
      <c r="G1170" s="1548"/>
      <c r="H1170" s="1548"/>
      <c r="I1170" s="1548"/>
      <c r="J1170" s="1549"/>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4"/>
      <c r="AH1170" s="30"/>
      <c r="AI1170" s="30"/>
      <c r="AJ1170" s="504"/>
      <c r="AK1170" s="504"/>
      <c r="AL1170" s="342"/>
      <c r="AM1170" s="27" t="s">
        <v>308</v>
      </c>
      <c r="AN1170" s="505"/>
      <c r="AO1170" s="505"/>
      <c r="AP1170" s="30"/>
      <c r="AQ1170" s="30"/>
      <c r="AR1170" s="30"/>
      <c r="AS1170" s="30"/>
      <c r="AT1170" s="30"/>
      <c r="AU1170" s="30"/>
      <c r="AV1170" s="27" t="s">
        <v>315</v>
      </c>
      <c r="AW1170" s="30"/>
      <c r="AX1170" s="492"/>
      <c r="AY1170" s="30"/>
      <c r="AZ1170" s="30"/>
      <c r="BA1170" s="30"/>
      <c r="BB1170" s="27" t="s">
        <v>219</v>
      </c>
      <c r="BC1170" s="30"/>
      <c r="BD1170" s="30"/>
      <c r="BE1170" s="30"/>
      <c r="BF1170" s="30"/>
      <c r="BG1170" s="27"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0"/>
      <c r="BZ1170" s="30"/>
    </row>
    <row r="1171" spans="1:78" s="142" customFormat="1" ht="4.5" hidden="1" customHeight="1">
      <c r="A1171" s="808"/>
      <c r="B1171" s="166"/>
      <c r="C1171" s="166"/>
      <c r="D1171" s="166"/>
      <c r="E1171" s="166"/>
      <c r="F1171" s="166"/>
      <c r="G1171" s="166"/>
      <c r="M1171" s="143"/>
      <c r="N1171" s="143"/>
      <c r="O1171" s="733"/>
      <c r="P1171" s="33"/>
      <c r="Q1171" s="33"/>
      <c r="R1171" s="33"/>
      <c r="S1171" s="23"/>
      <c r="T1171" s="23"/>
      <c r="U1171" s="23"/>
      <c r="V1171" s="78"/>
      <c r="W1171" s="30"/>
      <c r="X1171" s="30"/>
      <c r="Y1171" s="494"/>
      <c r="Z1171" s="30"/>
      <c r="AA1171" s="30"/>
      <c r="AB1171" s="30"/>
      <c r="AC1171" s="30"/>
      <c r="AD1171" s="30"/>
      <c r="AE1171" s="30"/>
      <c r="AF1171" s="58"/>
      <c r="AG1171" s="30"/>
      <c r="AH1171" s="30"/>
      <c r="AI1171" s="30"/>
      <c r="AJ1171" s="504"/>
      <c r="AK1171" s="504"/>
      <c r="AL1171" s="342"/>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hidden="1" customHeight="1" thickBot="1">
      <c r="A1172" s="808"/>
      <c r="B1172" s="166"/>
      <c r="C1172" s="166"/>
      <c r="D1172" s="166"/>
      <c r="E1172" s="1550" t="str">
        <f>IF(E1169="","",IF(T1170=TRUE,HYPERLINK("#JUMP_14",EUconst_MsgGoOnPFC),HYPERLINK("#JUMP_E_8",EUconst_FurtherGuidancePoint1)))</f>
        <v/>
      </c>
      <c r="F1172" s="1550"/>
      <c r="G1172" s="1550"/>
      <c r="H1172" s="1550"/>
      <c r="I1172" s="1550"/>
      <c r="J1172" s="1550"/>
      <c r="K1172" s="1550"/>
      <c r="L1172" s="1550"/>
      <c r="M1172" s="1550"/>
      <c r="N1172" s="143"/>
      <c r="O1172" s="733"/>
      <c r="P1172" s="33"/>
      <c r="Q1172" s="352" t="str">
        <f>EUconst_SumNonSustBioCO2 &amp; "_" &amp; K1169</f>
        <v>SUM_bioNonSustCO2_</v>
      </c>
      <c r="R1172" s="707"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4"/>
      <c r="AK1172" s="504"/>
      <c r="AL1172" s="342"/>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4.5" hidden="1" customHeight="1">
      <c r="A1173" s="808"/>
      <c r="B1173" s="166"/>
      <c r="C1173" s="166"/>
      <c r="D1173" s="166"/>
      <c r="E1173" s="166"/>
      <c r="F1173" s="166"/>
      <c r="G1173" s="166"/>
      <c r="M1173" s="143"/>
      <c r="N1173" s="143"/>
      <c r="O1173" s="733"/>
      <c r="P1173" s="23"/>
      <c r="Q1173" s="23"/>
      <c r="R1173" s="23"/>
      <c r="S1173" s="23"/>
      <c r="T1173" s="23"/>
      <c r="U1173" s="23"/>
      <c r="V1173" s="30"/>
      <c r="W1173" s="30"/>
      <c r="X1173" s="30"/>
      <c r="Y1173" s="494"/>
      <c r="Z1173" s="30"/>
      <c r="AA1173" s="30"/>
      <c r="AB1173" s="30"/>
      <c r="AC1173" s="30"/>
      <c r="AD1173" s="30"/>
      <c r="AE1173" s="30"/>
      <c r="AF1173" s="58"/>
      <c r="AG1173" s="30"/>
      <c r="AH1173" s="30"/>
      <c r="AI1173" s="30"/>
      <c r="AJ1173" s="504"/>
      <c r="AK1173" s="504"/>
      <c r="AL1173" s="342"/>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hidden="1" customHeight="1" thickBot="1">
      <c r="A1174" s="808"/>
      <c r="B1174" s="166"/>
      <c r="C1174" s="814" t="s">
        <v>4</v>
      </c>
      <c r="D1174" s="512" t="str">
        <f>Translations!$B$622</f>
        <v>VD:</v>
      </c>
      <c r="E1174" s="1560" t="str">
        <f>Translations!$B$667</f>
        <v>Ar veiklos duomenys gaunami sudedant išmatuotus kiekius (t. y. ne atliekant nuolatinius matavimus)?</v>
      </c>
      <c r="F1174" s="1560"/>
      <c r="G1174" s="1560"/>
      <c r="H1174" s="1560"/>
      <c r="I1174" s="1560"/>
      <c r="J1174" s="1560"/>
      <c r="K1174" s="1560"/>
      <c r="L1174" s="1179"/>
      <c r="M1174" s="507"/>
      <c r="O1174" s="733"/>
      <c r="P1174" s="23"/>
      <c r="Q1174" s="23"/>
      <c r="R1174" s="23"/>
      <c r="S1174" s="23"/>
      <c r="T1174" s="23"/>
      <c r="U1174" s="23"/>
      <c r="V1174" s="30"/>
      <c r="W1174" s="30"/>
      <c r="X1174" s="30"/>
      <c r="Y1174" s="494"/>
      <c r="Z1174" s="30"/>
      <c r="AA1174" s="30"/>
      <c r="AB1174" s="30"/>
      <c r="AC1174" s="1172" t="b">
        <f>AND(E1169&lt;&gt;"",T1170&lt;&gt;TRUE)</f>
        <v>0</v>
      </c>
      <c r="AD1174" s="30"/>
      <c r="AE1174" s="30"/>
      <c r="AF1174" s="58"/>
      <c r="AG1174" s="30"/>
      <c r="AH1174" s="30"/>
      <c r="AI1174" s="30"/>
      <c r="AJ1174" s="504"/>
      <c r="AK1174" s="504"/>
      <c r="AL1174" s="342"/>
      <c r="AM1174" s="30"/>
      <c r="AN1174" s="30"/>
      <c r="AO1174" s="30"/>
      <c r="AP1174" s="30"/>
      <c r="AQ1174" s="30"/>
      <c r="AR1174" s="30"/>
      <c r="AS1174" s="30"/>
      <c r="AT1174" s="1172"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2" t="b">
        <f>OR(CNTR_CalcRelevant=EUconst_NotRelevant,AND(COUNTA(CNTR_ListRelevantSections)&gt;0,OR(T1170=TRUE,E1169="")))</f>
        <v>1</v>
      </c>
    </row>
    <row r="1175" spans="1:78" s="142" customFormat="1" ht="5.0999999999999996" hidden="1" customHeight="1">
      <c r="A1175" s="808"/>
      <c r="B1175" s="166"/>
      <c r="C1175" s="166"/>
      <c r="D1175" s="166"/>
      <c r="E1175" s="166"/>
      <c r="F1175" s="166"/>
      <c r="G1175" s="166"/>
      <c r="H1175" s="495"/>
      <c r="I1175" s="495"/>
      <c r="J1175" s="495"/>
      <c r="K1175" s="495"/>
      <c r="L1175" s="495"/>
      <c r="M1175" s="507"/>
      <c r="O1175" s="733"/>
      <c r="P1175" s="23"/>
      <c r="Q1175" s="23"/>
      <c r="R1175" s="23"/>
      <c r="S1175" s="23"/>
      <c r="T1175" s="23"/>
      <c r="U1175" s="23"/>
      <c r="V1175" s="30"/>
      <c r="W1175" s="30"/>
      <c r="X1175" s="30"/>
      <c r="Y1175" s="494"/>
      <c r="Z1175" s="30"/>
      <c r="AA1175" s="30"/>
      <c r="AB1175" s="30"/>
      <c r="AC1175" s="492"/>
      <c r="AD1175" s="30"/>
      <c r="AE1175" s="30"/>
      <c r="AF1175" s="58"/>
      <c r="AG1175" s="30"/>
      <c r="AH1175" s="30"/>
      <c r="AI1175" s="30"/>
      <c r="AJ1175" s="504"/>
      <c r="AK1175" s="504"/>
      <c r="AL1175" s="342"/>
      <c r="AM1175" s="30"/>
      <c r="AN1175" s="30"/>
      <c r="AO1175" s="30"/>
      <c r="AP1175" s="30"/>
      <c r="AQ1175" s="30"/>
      <c r="AR1175" s="30"/>
      <c r="AS1175" s="30"/>
      <c r="AT1175" s="492"/>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2"/>
    </row>
    <row r="1176" spans="1:78" s="142" customFormat="1" ht="12.75" hidden="1" customHeight="1" thickBot="1">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3"/>
      <c r="Q1176" s="23"/>
      <c r="R1176" s="23"/>
      <c r="S1176" s="23"/>
      <c r="T1176" s="23"/>
      <c r="U1176" s="23"/>
      <c r="V1176" s="30"/>
      <c r="W1176" s="30"/>
      <c r="X1176" s="30"/>
      <c r="Y1176" s="494"/>
      <c r="Z1176" s="30"/>
      <c r="AA1176" s="30"/>
      <c r="AB1176" s="30"/>
      <c r="AC1176" s="1172" t="b">
        <f>AC1174</f>
        <v>0</v>
      </c>
      <c r="AD1176" s="30"/>
      <c r="AE1176" s="30"/>
      <c r="AF1176" s="58"/>
      <c r="AG1176" s="30"/>
      <c r="AH1176" s="30"/>
      <c r="AI1176" s="30"/>
      <c r="AJ1176" s="504"/>
      <c r="AK1176" s="504"/>
      <c r="AL1176" s="342"/>
      <c r="AM1176" s="30"/>
      <c r="AN1176" s="30"/>
      <c r="AO1176" s="30"/>
      <c r="AP1176" s="30"/>
      <c r="AQ1176" s="30"/>
      <c r="AR1176" s="30"/>
      <c r="AS1176" s="30"/>
      <c r="AT1176" s="1172"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2" t="b">
        <f>OR(BZ1174,AND(NOT(ISBLANK(L1174)),L1174=FALSE))</f>
        <v>1</v>
      </c>
    </row>
    <row r="1177" spans="1:78" s="142" customFormat="1" ht="5.0999999999999996" hidden="1" customHeight="1">
      <c r="A1177" s="808"/>
      <c r="B1177" s="166"/>
      <c r="C1177" s="166"/>
      <c r="D1177" s="166"/>
      <c r="E1177" s="166"/>
      <c r="F1177" s="166"/>
      <c r="G1177" s="166"/>
      <c r="M1177" s="143"/>
      <c r="N1177" s="143"/>
      <c r="O1177" s="733"/>
      <c r="P1177" s="23"/>
      <c r="Q1177" s="23"/>
      <c r="R1177" s="23"/>
      <c r="S1177" s="23"/>
      <c r="T1177" s="23"/>
      <c r="U1177" s="23"/>
      <c r="V1177" s="30"/>
      <c r="W1177" s="30"/>
      <c r="X1177" s="30"/>
      <c r="Y1177" s="494"/>
      <c r="Z1177" s="30"/>
      <c r="AA1177" s="30"/>
      <c r="AB1177" s="30"/>
      <c r="AC1177" s="30"/>
      <c r="AD1177" s="30"/>
      <c r="AE1177" s="30"/>
      <c r="AF1177" s="58"/>
      <c r="AG1177" s="30"/>
      <c r="AH1177" s="30"/>
      <c r="AI1177" s="30"/>
      <c r="AJ1177" s="504"/>
      <c r="AK1177" s="504"/>
      <c r="AL1177" s="342"/>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hidden="1" customHeight="1" thickBot="1">
      <c r="A1178" s="808"/>
      <c r="B1178" s="166"/>
      <c r="C1178" s="166"/>
      <c r="D1178" s="166"/>
      <c r="E1178" s="166"/>
      <c r="F1178" s="506" t="str">
        <f>Translations!$B$333</f>
        <v>Pakopa</v>
      </c>
      <c r="G1178" s="1557" t="str">
        <f>Translations!$B$672</f>
        <v>pakopos aprašas</v>
      </c>
      <c r="H1178" s="1557"/>
      <c r="I1178" s="1555" t="str">
        <f>Translations!$B$158</f>
        <v>Vienetas</v>
      </c>
      <c r="J1178" s="1555"/>
      <c r="K1178" s="1555" t="str">
        <f>Translations!$B$673</f>
        <v>Vertė</v>
      </c>
      <c r="L1178" s="1555"/>
      <c r="M1178" s="507" t="str">
        <f>Translations!$B$610</f>
        <v>klaida</v>
      </c>
      <c r="O1178" s="733"/>
      <c r="P1178" s="508"/>
      <c r="Q1178" s="352" t="str">
        <f>EUconst_SumEnergyIN &amp; "_" &amp; K1169</f>
        <v>SUM_EnergyIN_</v>
      </c>
      <c r="R1178" s="399" t="str">
        <f>IF(OR(K1169="",T1170)=TRUE,"",INDEX(BC1184:BE1184,MATCH(K1169,BC1179:BE1179,0)))</f>
        <v/>
      </c>
      <c r="S1178" s="30"/>
      <c r="T1178" s="489"/>
      <c r="U1178" s="30"/>
      <c r="V1178" s="509" t="s">
        <v>303</v>
      </c>
      <c r="W1178" s="30"/>
      <c r="X1178" s="30"/>
      <c r="Y1178" s="494" t="s">
        <v>566</v>
      </c>
      <c r="Z1178" s="494" t="s">
        <v>318</v>
      </c>
      <c r="AA1178" s="30"/>
      <c r="AB1178" s="30"/>
      <c r="AC1178" s="505" t="s">
        <v>309</v>
      </c>
      <c r="AD1178" s="30"/>
      <c r="AE1178" s="30"/>
      <c r="AF1178" s="492" t="s">
        <v>305</v>
      </c>
      <c r="AG1178" s="492" t="s">
        <v>306</v>
      </c>
      <c r="AH1178" s="494" t="s">
        <v>304</v>
      </c>
      <c r="AI1178" s="504" t="s">
        <v>307</v>
      </c>
      <c r="AJ1178" s="504" t="s">
        <v>567</v>
      </c>
      <c r="AK1178" s="510" t="s">
        <v>311</v>
      </c>
      <c r="AL1178" s="342"/>
      <c r="AM1178" s="30"/>
      <c r="AN1178" s="492" t="s">
        <v>305</v>
      </c>
      <c r="AO1178" s="492" t="s">
        <v>306</v>
      </c>
      <c r="AP1178" s="511" t="s">
        <v>310</v>
      </c>
      <c r="AQ1178" s="504" t="s">
        <v>569</v>
      </c>
      <c r="AR1178" s="504" t="s">
        <v>568</v>
      </c>
      <c r="AS1178" s="510" t="s">
        <v>609</v>
      </c>
      <c r="AT1178" s="510" t="s">
        <v>609</v>
      </c>
      <c r="AU1178" s="30"/>
      <c r="AV1178" s="492"/>
      <c r="AW1178" s="492"/>
      <c r="AX1178" s="492" t="s">
        <v>321</v>
      </c>
      <c r="AY1178" s="492"/>
      <c r="AZ1178" s="492"/>
      <c r="BA1178" s="492"/>
      <c r="BB1178" s="492"/>
      <c r="BC1178" s="492"/>
      <c r="BD1178" s="492"/>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3" t="s">
        <v>262</v>
      </c>
    </row>
    <row r="1179" spans="1:78" s="142" customFormat="1" ht="12.75" hidden="1" customHeight="1" thickBot="1">
      <c r="A1179" s="808"/>
      <c r="B1179" s="166"/>
      <c r="C1179" s="777" t="s">
        <v>196</v>
      </c>
      <c r="D1179" s="512" t="str">
        <f>Translations!$B$622</f>
        <v>VD:</v>
      </c>
      <c r="E1179" s="513"/>
      <c r="F1179" s="402"/>
      <c r="G1179" s="1532" t="str">
        <f>IF(OR(ISBLANK(F1179),F1179=EUconst_NoTier),"",IF(Z1179=0,EUconst_NA,IF(ISERROR(Z1179),"",Z1179)))</f>
        <v/>
      </c>
      <c r="H1179" s="1533"/>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0"/>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0"/>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0"/>
      <c r="AV1179" s="492" t="s">
        <v>314</v>
      </c>
      <c r="AW1179" s="492" t="s">
        <v>319</v>
      </c>
      <c r="AX1179" s="524"/>
      <c r="AY1179" s="30" t="s">
        <v>542</v>
      </c>
      <c r="AZ1179" s="30"/>
      <c r="BA1179" s="30"/>
      <c r="BB1179" s="504"/>
      <c r="BC1179" s="493" t="str">
        <f>EUconst_Fuel</f>
        <v>Degimas</v>
      </c>
      <c r="BD1179" s="493" t="str">
        <f>EUconst_ProcessCarbonate</f>
        <v>Proceso metu išsiskiriančios ŠESD</v>
      </c>
      <c r="BE1179" s="493"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4" t="b">
        <f>BZ1174</f>
        <v>1</v>
      </c>
    </row>
    <row r="1180" spans="1:78" s="142" customFormat="1" ht="5.0999999999999996" hidden="1" customHeight="1">
      <c r="A1180" s="808"/>
      <c r="B1180" s="166"/>
      <c r="C1180" s="814"/>
      <c r="D1180" s="306"/>
      <c r="F1180" s="143"/>
      <c r="G1180" s="143"/>
      <c r="H1180" s="143" t="s">
        <v>236</v>
      </c>
      <c r="I1180" s="525"/>
      <c r="J1180" s="525"/>
      <c r="K1180" s="143"/>
      <c r="L1180" s="143"/>
      <c r="M1180" s="710"/>
      <c r="O1180" s="733"/>
      <c r="P1180" s="33"/>
      <c r="Q1180" s="33"/>
      <c r="R1180" s="33"/>
      <c r="S1180" s="30"/>
      <c r="T1180" s="155"/>
      <c r="U1180" s="497"/>
      <c r="V1180" s="30"/>
      <c r="W1180" s="30"/>
      <c r="X1180" s="497"/>
      <c r="Y1180" s="526"/>
      <c r="Z1180" s="30"/>
      <c r="AA1180" s="30"/>
      <c r="AB1180" s="30"/>
      <c r="AC1180" s="30"/>
      <c r="AD1180" s="30"/>
      <c r="AE1180" s="30"/>
      <c r="AF1180" s="30"/>
      <c r="AG1180" s="30"/>
      <c r="AH1180" s="30"/>
      <c r="AI1180" s="30"/>
      <c r="AJ1180" s="30"/>
      <c r="AK1180" s="30"/>
      <c r="AL1180" s="342"/>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3"/>
    </row>
    <row r="1181" spans="1:78" s="142" customFormat="1" ht="12.75" hidden="1" customHeight="1" thickBot="1">
      <c r="A1181" s="808"/>
      <c r="B1181" s="166"/>
      <c r="C1181" s="814" t="s">
        <v>197</v>
      </c>
      <c r="D1181" s="512" t="str">
        <f>Translations!$B$634</f>
        <v>(prelim.) ITF:</v>
      </c>
      <c r="E1181" s="513"/>
      <c r="F1181" s="527"/>
      <c r="G1181" s="1532" t="str">
        <f t="shared" ref="G1181:G1187" si="287">IF(OR(ISBLANK(F1181),F1181=EUconst_NoTier),"",IF(Z1181=0,EUconst_NotApplicable,IF(ISERROR(Z1181),"",Z1181)))</f>
        <v/>
      </c>
      <c r="H1181" s="1556"/>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3"/>
      <c r="Q1181" s="33"/>
      <c r="R1181" s="33"/>
      <c r="S1181" s="30"/>
      <c r="T1181" s="530" t="str">
        <f>EUconst_CNTR_EF&amp;E1170</f>
        <v>EF_</v>
      </c>
      <c r="U1181" s="497"/>
      <c r="V1181" s="531" t="str">
        <f>V1179</f>
        <v/>
      </c>
      <c r="W1181" s="30"/>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0"/>
      <c r="AC1181" s="535" t="b">
        <f>AND(AC1179,Y1181&lt;&gt;EUconst_NA)</f>
        <v>0</v>
      </c>
      <c r="AD1181" s="30"/>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0"/>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0"/>
      <c r="BA1181" s="30"/>
      <c r="BB1181" s="547" t="s">
        <v>594</v>
      </c>
      <c r="BC1181" s="546" t="str">
        <f>IF(K1169=BC1179,AR1179*IF(AJ1181=EUconst_tCO2pTJ,(AR1182/1000),1)*AR1181*AR1183*AR1187,"")</f>
        <v/>
      </c>
      <c r="BD1181" s="524" t="str">
        <f>IF(K1169=BD1179,AR1179*AR1181*AR1184*AR1187,"")</f>
        <v/>
      </c>
      <c r="BE1181" s="523"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1" t="b">
        <f>OR(BZ1179,Y1181=EUconst_NA)</f>
        <v>1</v>
      </c>
    </row>
    <row r="1182" spans="1:78" s="142" customFormat="1" ht="12.75" hidden="1" customHeight="1" thickBot="1">
      <c r="A1182" s="808"/>
      <c r="B1182" s="166"/>
      <c r="C1182" s="814" t="s">
        <v>198</v>
      </c>
      <c r="D1182" s="512" t="str">
        <f>Translations!$B$636</f>
        <v>GŠV:</v>
      </c>
      <c r="E1182" s="513"/>
      <c r="F1182" s="548"/>
      <c r="G1182" s="1532" t="str">
        <f t="shared" si="287"/>
        <v/>
      </c>
      <c r="H1182" s="1533"/>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3"/>
      <c r="Q1182" s="33"/>
      <c r="R1182" s="33"/>
      <c r="S1182" s="30"/>
      <c r="T1182" s="552" t="str">
        <f>EUconst_CNTR_NCV&amp;E1170</f>
        <v>NCV_</v>
      </c>
      <c r="U1182" s="497"/>
      <c r="V1182" s="553" t="str">
        <f t="shared" ref="V1182:V1187" si="293">V1181</f>
        <v/>
      </c>
      <c r="W1182" s="30"/>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0"/>
      <c r="AC1182" s="557" t="b">
        <f>AND(AC1179,Y1182&lt;&gt;EUconst_NA)</f>
        <v>0</v>
      </c>
      <c r="AD1182" s="30"/>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0"/>
      <c r="AV1182" s="567" t="b">
        <f t="shared" si="290"/>
        <v>0</v>
      </c>
      <c r="AW1182" s="568" t="b">
        <f t="shared" si="291"/>
        <v>0</v>
      </c>
      <c r="AX1182" s="30"/>
      <c r="AY1182" s="553" t="b">
        <f t="shared" si="292"/>
        <v>0</v>
      </c>
      <c r="AZ1182" s="30"/>
      <c r="BA1182" s="30"/>
      <c r="BB1182" s="547" t="s">
        <v>595</v>
      </c>
      <c r="BC1182" s="546" t="str">
        <f>IF(K1169=BC1179,AR1179*IF(AJ1181=EUconst_tCO2pTJ,(AR1182/1000),1)*AR1181*AR1183*AR1186,"")</f>
        <v/>
      </c>
      <c r="BD1182" s="524" t="str">
        <f>IF(K1169=BD1179,AR1179*AR1181*AR1184*AR1186,"")</f>
        <v/>
      </c>
      <c r="BE1182" s="523"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3" t="b">
        <f>OR(BZ1179,Y1182=EUconst_NA)</f>
        <v>1</v>
      </c>
    </row>
    <row r="1183" spans="1:78" s="142" customFormat="1" ht="12.75" hidden="1" customHeight="1" thickBot="1">
      <c r="A1183" s="808"/>
      <c r="B1183" s="166"/>
      <c r="C1183" s="814" t="s">
        <v>199</v>
      </c>
      <c r="D1183" s="512" t="str">
        <f>Translations!$B$638</f>
        <v>OksK:</v>
      </c>
      <c r="E1183" s="513"/>
      <c r="F1183" s="548"/>
      <c r="G1183" s="1532" t="str">
        <f t="shared" si="287"/>
        <v/>
      </c>
      <c r="H1183" s="1533"/>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3"/>
      <c r="Q1183" s="33"/>
      <c r="R1183" s="33"/>
      <c r="S1183" s="30"/>
      <c r="T1183" s="552" t="str">
        <f>EUconst_CNTR_OxidationFactor&amp;E1170</f>
        <v>OxF_</v>
      </c>
      <c r="U1183" s="497"/>
      <c r="V1183" s="553" t="str">
        <f t="shared" si="293"/>
        <v/>
      </c>
      <c r="W1183" s="30"/>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0"/>
      <c r="AC1183" s="557" t="b">
        <f>AND(AC1179,Y1183&lt;&gt;EUconst_NA)</f>
        <v>0</v>
      </c>
      <c r="AD1183" s="30"/>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0"/>
      <c r="AV1183" s="567" t="b">
        <f t="shared" si="290"/>
        <v>0</v>
      </c>
      <c r="AW1183" s="568" t="b">
        <f t="shared" si="291"/>
        <v>0</v>
      </c>
      <c r="AX1183" s="30"/>
      <c r="AY1183" s="594" t="b">
        <f t="shared" si="292"/>
        <v>0</v>
      </c>
      <c r="AZ1183" s="531" t="b">
        <f>AR1183&gt;100%</f>
        <v>0</v>
      </c>
      <c r="BA1183" s="30"/>
      <c r="BB1183" s="547" t="s">
        <v>290</v>
      </c>
      <c r="BC1183" s="546" t="str">
        <f>IF(K1169=BC1179,AR1179*IF(AJ1181=EUconst_tCO2pTJ,(AR1182/1000),1)*AR1181*AR1183*(1-AR1186),"")</f>
        <v/>
      </c>
      <c r="BD1183" s="524" t="str">
        <f>IF(K1169=BD1179,AR1179*AR1181*AR1184*(1-AR1186),"")</f>
        <v/>
      </c>
      <c r="BE1183" s="523"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3" t="b">
        <f>OR(BZ1179,Y1183=EUconst_NA)</f>
        <v>1</v>
      </c>
    </row>
    <row r="1184" spans="1:78" s="142" customFormat="1" ht="12.75" hidden="1" customHeight="1" thickBot="1">
      <c r="A1184" s="808"/>
      <c r="B1184" s="166"/>
      <c r="C1184" s="814" t="s">
        <v>200</v>
      </c>
      <c r="D1184" s="512" t="str">
        <f>Translations!$B$639</f>
        <v>KonvK:</v>
      </c>
      <c r="E1184" s="513"/>
      <c r="F1184" s="548"/>
      <c r="G1184" s="1532" t="str">
        <f t="shared" si="287"/>
        <v/>
      </c>
      <c r="H1184" s="1533"/>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3"/>
      <c r="Q1184" s="33"/>
      <c r="R1184" s="33"/>
      <c r="S1184" s="30"/>
      <c r="T1184" s="552" t="str">
        <f>EUconst_CNTR_ConversionFactor&amp;E1170</f>
        <v>ConvF_</v>
      </c>
      <c r="U1184" s="497"/>
      <c r="V1184" s="553" t="str">
        <f t="shared" si="293"/>
        <v/>
      </c>
      <c r="W1184" s="30"/>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0"/>
      <c r="AC1184" s="557" t="b">
        <f>AND(AC1179,Y1184&lt;&gt;EUconst_NA)</f>
        <v>0</v>
      </c>
      <c r="AD1184" s="30"/>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0"/>
      <c r="AV1184" s="567" t="b">
        <f t="shared" si="290"/>
        <v>0</v>
      </c>
      <c r="AW1184" s="568" t="b">
        <f t="shared" si="291"/>
        <v>0</v>
      </c>
      <c r="AX1184" s="30"/>
      <c r="AY1184" s="594" t="b">
        <f t="shared" si="292"/>
        <v>0</v>
      </c>
      <c r="AZ1184" s="580" t="b">
        <f>AR1184&gt;100%</f>
        <v>0</v>
      </c>
      <c r="BA1184" s="30"/>
      <c r="BB1184" s="578" t="s">
        <v>487</v>
      </c>
      <c r="BC1184" s="579">
        <f>AR1179*AR1182/1000*(1-AR1186)</f>
        <v>0</v>
      </c>
      <c r="BD1184" s="580">
        <f>BC1184</f>
        <v>0</v>
      </c>
      <c r="BE1184" s="581">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3" t="b">
        <f>OR(BZ1179,Y1184=EUconst_NA)</f>
        <v>1</v>
      </c>
    </row>
    <row r="1185" spans="1:78" s="142" customFormat="1" ht="12.75" hidden="1" customHeight="1" thickBot="1">
      <c r="A1185" s="808"/>
      <c r="B1185" s="166"/>
      <c r="C1185" s="814" t="s">
        <v>329</v>
      </c>
      <c r="D1185" s="512" t="str">
        <f>Translations!$B$640</f>
        <v>AnglK:</v>
      </c>
      <c r="E1185" s="513"/>
      <c r="F1185" s="548"/>
      <c r="G1185" s="1532" t="str">
        <f t="shared" si="287"/>
        <v/>
      </c>
      <c r="H1185" s="1533"/>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3"/>
      <c r="Q1185" s="33"/>
      <c r="R1185" s="33"/>
      <c r="S1185" s="30"/>
      <c r="T1185" s="552" t="str">
        <f>EUconst_CNTR_CarbonContent&amp;E1170</f>
        <v>CarbC_</v>
      </c>
      <c r="U1185" s="497"/>
      <c r="V1185" s="553" t="str">
        <f t="shared" si="293"/>
        <v/>
      </c>
      <c r="W1185" s="30"/>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0"/>
      <c r="AC1185" s="557" t="b">
        <f>AND(AC1179,Y1185&lt;&gt;EUconst_NA)</f>
        <v>0</v>
      </c>
      <c r="AD1185" s="30"/>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0"/>
      <c r="AV1185" s="567" t="b">
        <f t="shared" si="290"/>
        <v>0</v>
      </c>
      <c r="AW1185" s="568" t="b">
        <f t="shared" si="291"/>
        <v>0</v>
      </c>
      <c r="AX1185" s="546" t="b">
        <f>OR(AND(AJ1179=EUconst_kNm3,AJ1185=EUconst_tCpt),AND(AJ1179=EUconst_t,AJ1185=EUconst_tCpkNm3))</f>
        <v>0</v>
      </c>
      <c r="AY1185" s="553" t="b">
        <f t="shared" si="292"/>
        <v>0</v>
      </c>
      <c r="AZ1185" s="30"/>
      <c r="BA1185" s="30"/>
      <c r="BB1185" s="578" t="s">
        <v>488</v>
      </c>
      <c r="BC1185" s="579">
        <f>AR1179*AR1182/1000*AR1186</f>
        <v>0</v>
      </c>
      <c r="BD1185" s="580">
        <f>BC1185</f>
        <v>0</v>
      </c>
      <c r="BE1185" s="581">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3" t="b">
        <f>OR(BZ1179,Y1185=EUconst_NA)</f>
        <v>1</v>
      </c>
    </row>
    <row r="1186" spans="1:78" s="142" customFormat="1" ht="12.75" hidden="1" customHeight="1">
      <c r="A1186" s="808"/>
      <c r="B1186" s="166"/>
      <c r="C1186" s="777" t="s">
        <v>330</v>
      </c>
      <c r="D1186" s="512" t="str">
        <f>Translations!$B$641</f>
        <v>BioC:</v>
      </c>
      <c r="E1186" s="513"/>
      <c r="F1186" s="548"/>
      <c r="G1186" s="1532" t="str">
        <f t="shared" si="287"/>
        <v/>
      </c>
      <c r="H1186" s="1533"/>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0"/>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0"/>
      <c r="AC1186" s="557" t="b">
        <f>AND(AC1179,Y1186&lt;&gt;EUconst_NA)</f>
        <v>0</v>
      </c>
      <c r="AD1186" s="30"/>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0"/>
      <c r="AV1186" s="567" t="b">
        <f t="shared" si="290"/>
        <v>0</v>
      </c>
      <c r="AW1186" s="568" t="b">
        <f t="shared" si="291"/>
        <v>0</v>
      </c>
      <c r="AX1186" s="30"/>
      <c r="AY1186" s="594" t="b">
        <f t="shared" si="292"/>
        <v>0</v>
      </c>
      <c r="AZ1186" s="531"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3" t="b">
        <f>OR(BZ1179,Y1186=EUconst_NA)</f>
        <v>1</v>
      </c>
    </row>
    <row r="1187" spans="1:78" s="142" customFormat="1" ht="12.75" hidden="1" customHeight="1" thickBot="1">
      <c r="A1187" s="808"/>
      <c r="B1187" s="166"/>
      <c r="C1187" s="777" t="s">
        <v>454</v>
      </c>
      <c r="D1187" s="512" t="str">
        <f>Translations!$B$647</f>
        <v>Netvar. BioC:</v>
      </c>
      <c r="E1187" s="513"/>
      <c r="F1187" s="597"/>
      <c r="G1187" s="1532" t="str">
        <f t="shared" si="287"/>
        <v/>
      </c>
      <c r="H1187" s="1533"/>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0"/>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0"/>
      <c r="AC1187" s="603" t="b">
        <f>AND(AC1179,Y1187&lt;&gt;EUconst_NA)</f>
        <v>0</v>
      </c>
      <c r="AD1187" s="30"/>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0"/>
      <c r="AV1187" s="613" t="b">
        <f t="shared" si="290"/>
        <v>0</v>
      </c>
      <c r="AW1187" s="614" t="b">
        <f t="shared" si="291"/>
        <v>0</v>
      </c>
      <c r="AX1187" s="30"/>
      <c r="AY1187" s="579" t="b">
        <f t="shared" si="292"/>
        <v>0</v>
      </c>
      <c r="AZ1187" s="580"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80" t="b">
        <f>OR(BZ1179,Y1187=EUconst_NA)</f>
        <v>1</v>
      </c>
    </row>
    <row r="1188" spans="1:78" s="142" customFormat="1" ht="5.0999999999999996" hidden="1" customHeight="1">
      <c r="A1188" s="808"/>
      <c r="B1188" s="166"/>
      <c r="C1188" s="166"/>
      <c r="D1188" s="180"/>
      <c r="O1188" s="733"/>
      <c r="P1188" s="33"/>
      <c r="Q1188" s="33"/>
      <c r="R1188" s="33"/>
      <c r="S1188" s="174"/>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hidden="1" customHeight="1">
      <c r="A1189" s="808"/>
      <c r="B1189" s="166"/>
      <c r="C1189" s="166"/>
      <c r="D1189" s="1558" t="str">
        <f>Translations!$B$674</f>
        <v>Pakopos galioja nuo:</v>
      </c>
      <c r="E1189" s="1558"/>
      <c r="F1189" s="1559"/>
      <c r="G1189" s="1052"/>
      <c r="H1189" s="615" t="str">
        <f>Translations!$B$675</f>
        <v>iki:</v>
      </c>
      <c r="I1189" s="1052"/>
      <c r="J1189" s="1536" t="str">
        <f>Translations!$B$676</f>
        <v>Atliekų katalogo numeris (jeigu taikytina):</v>
      </c>
      <c r="K1189" s="1537"/>
      <c r="L1189" s="1537"/>
      <c r="M1189" s="1538"/>
      <c r="N1189" s="1289"/>
      <c r="O1189" s="733"/>
      <c r="P1189" s="33"/>
      <c r="Q1189" s="33"/>
      <c r="R1189" s="33"/>
      <c r="S1189" s="1290"/>
      <c r="T1189" s="492"/>
      <c r="U1189" s="492"/>
      <c r="V1189" s="48" t="b">
        <f>IF(V1179="",FALSE,INDEX(CNTR_IsWaste,MATCH(V1179,MSParameters!$A$218:$A$376,0)))</f>
        <v>0</v>
      </c>
      <c r="W1189" s="1290"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hidden="1" customHeight="1">
      <c r="A1190" s="808"/>
      <c r="B1190" s="166"/>
      <c r="C1190" s="166"/>
      <c r="D1190" s="615"/>
      <c r="E1190" s="495"/>
      <c r="F1190" s="495"/>
      <c r="G1190" s="495"/>
      <c r="H1190" s="495"/>
      <c r="I1190" s="495"/>
      <c r="J1190" s="495"/>
      <c r="K1190" s="495"/>
      <c r="L1190" s="495"/>
      <c r="M1190" s="495"/>
      <c r="N1190" s="495"/>
      <c r="O1190" s="733"/>
      <c r="P1190" s="33"/>
      <c r="Q1190" s="33"/>
      <c r="R1190" s="33"/>
      <c r="S1190" s="174"/>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hidden="1" customHeight="1">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3"/>
      <c r="Q1191" s="33"/>
      <c r="R1191" s="33"/>
      <c r="S1191" s="174"/>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hidden="1" customHeight="1">
      <c r="A1192" s="815"/>
      <c r="D1192" s="180"/>
      <c r="O1192" s="573"/>
      <c r="P1192" s="497"/>
      <c r="Q1192" s="497"/>
      <c r="R1192" s="497"/>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hidden="1">
      <c r="A1193" s="815"/>
      <c r="D1193" s="1534" t="str">
        <f>Translations!$B$160</f>
        <v>Pastabos:</v>
      </c>
      <c r="E1193" s="1535"/>
      <c r="F1193" s="1539"/>
      <c r="G1193" s="1540"/>
      <c r="H1193" s="1540"/>
      <c r="I1193" s="1540"/>
      <c r="J1193" s="1540"/>
      <c r="K1193" s="1540"/>
      <c r="L1193" s="1540"/>
      <c r="M1193" s="1540"/>
      <c r="N1193" s="1541"/>
      <c r="O1193" s="573"/>
      <c r="P1193" s="497"/>
      <c r="Q1193" s="497"/>
      <c r="R1193" s="497"/>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c r="A1194" s="808"/>
      <c r="B1194" s="495"/>
      <c r="C1194" s="499"/>
      <c r="D1194" s="500"/>
      <c r="E1194" s="501"/>
      <c r="F1194" s="499"/>
      <c r="G1194" s="502"/>
      <c r="H1194" s="502"/>
      <c r="I1194" s="502"/>
      <c r="J1194" s="502"/>
      <c r="K1194" s="502"/>
      <c r="L1194" s="502"/>
      <c r="M1194" s="502"/>
      <c r="N1194" s="502"/>
      <c r="O1194" s="740"/>
      <c r="P1194" s="494"/>
      <c r="Q1194" s="494"/>
      <c r="R1194" s="494"/>
      <c r="S1194" s="58"/>
      <c r="T1194" s="58"/>
      <c r="U1194" s="498"/>
      <c r="V1194" s="58"/>
      <c r="W1194" s="58"/>
      <c r="X1194" s="49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c r="A1195" s="813"/>
      <c r="B1195" s="495"/>
      <c r="C1195" s="495"/>
      <c r="D1195" s="180"/>
      <c r="E1195" s="496"/>
      <c r="F1195" s="495"/>
      <c r="G1195" s="487"/>
      <c r="H1195" s="487"/>
      <c r="I1195" s="487"/>
      <c r="J1195" s="487"/>
      <c r="K1195" s="495"/>
      <c r="L1195" s="487"/>
      <c r="M1195" s="487"/>
      <c r="N1195" s="487"/>
      <c r="O1195" s="740"/>
      <c r="P1195" s="494"/>
      <c r="Q1195" s="494"/>
      <c r="R1195" s="494"/>
      <c r="S1195" s="23"/>
      <c r="T1195" s="27" t="str">
        <f>IF(ISBLANK(E1196),"",MATCH(E1196,CNTR_SourceStreamNames,0))</f>
        <v/>
      </c>
      <c r="U1195" s="618"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1"/>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3" t="s">
        <v>262</v>
      </c>
    </row>
    <row r="1196" spans="1:78" s="142" customFormat="1" ht="15" hidden="1" customHeight="1" thickBot="1">
      <c r="A1196" s="869" t="str">
        <f>IF(E1196="","","PRINT")</f>
        <v/>
      </c>
      <c r="B1196" s="166"/>
      <c r="C1196" s="617">
        <f>C1169+1</f>
        <v>43</v>
      </c>
      <c r="D1196" s="166"/>
      <c r="E1196" s="1542"/>
      <c r="F1196" s="1543"/>
      <c r="G1196" s="1543"/>
      <c r="H1196" s="1543"/>
      <c r="I1196" s="1543"/>
      <c r="J1196" s="1544"/>
      <c r="K1196" s="1545" t="str">
        <f>IF(E1197="","",INDEX(EUwideConstants!$F$353:$F$394,MATCH(E1197,EUConst_TierActivityListNames,0)))</f>
        <v/>
      </c>
      <c r="L1196" s="1546"/>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3"/>
      <c r="T1196" s="509" t="s">
        <v>393</v>
      </c>
      <c r="U1196" s="23"/>
      <c r="V1196" s="78"/>
      <c r="W1196" s="56"/>
      <c r="X1196" s="58"/>
      <c r="Y1196" s="58"/>
      <c r="Z1196" s="58"/>
      <c r="AA1196" s="58"/>
      <c r="AB1196" s="58"/>
      <c r="AC1196" s="58"/>
      <c r="AD1196" s="58"/>
      <c r="AE1196" s="58"/>
      <c r="AF1196" s="58"/>
      <c r="AG1196" s="58"/>
      <c r="AH1196" s="58"/>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6"/>
      <c r="BZ1196" s="619" t="b">
        <f>CNTR_CalcRelevant=EUconst_NotRelevant</f>
        <v>0</v>
      </c>
    </row>
    <row r="1197" spans="1:78" s="142" customFormat="1" ht="15" hidden="1" customHeight="1" thickBot="1">
      <c r="A1197" s="808"/>
      <c r="B1197" s="166"/>
      <c r="C1197" s="166"/>
      <c r="D1197" s="166"/>
      <c r="E1197" s="1547" t="str">
        <f>IF(ISBLANK(E1196),"",IF(INDEX(B_InstallationDescription!$E$71:$E$145,MATCH(U1195,B_InstallationDescription!$D$71:$D$145,0))&gt;0,INDEX(B_InstallationDescription!$E$71:$E$145,MATCH(U1195,B_InstallationDescription!$D$71:$D$145,0)),""))</f>
        <v/>
      </c>
      <c r="F1197" s="1548"/>
      <c r="G1197" s="1548"/>
      <c r="H1197" s="1548"/>
      <c r="I1197" s="1548"/>
      <c r="J1197" s="1549"/>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4"/>
      <c r="AH1197" s="30"/>
      <c r="AI1197" s="30"/>
      <c r="AJ1197" s="504"/>
      <c r="AK1197" s="504"/>
      <c r="AL1197" s="342"/>
      <c r="AM1197" s="27" t="s">
        <v>308</v>
      </c>
      <c r="AN1197" s="505"/>
      <c r="AO1197" s="505"/>
      <c r="AP1197" s="30"/>
      <c r="AQ1197" s="30"/>
      <c r="AR1197" s="30"/>
      <c r="AS1197" s="30"/>
      <c r="AT1197" s="30"/>
      <c r="AU1197" s="30"/>
      <c r="AV1197" s="27" t="s">
        <v>315</v>
      </c>
      <c r="AW1197" s="30"/>
      <c r="AX1197" s="492"/>
      <c r="AY1197" s="30"/>
      <c r="AZ1197" s="30"/>
      <c r="BA1197" s="30"/>
      <c r="BB1197" s="27" t="s">
        <v>219</v>
      </c>
      <c r="BC1197" s="30"/>
      <c r="BD1197" s="30"/>
      <c r="BE1197" s="30"/>
      <c r="BF1197" s="30"/>
      <c r="BG1197" s="27"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0"/>
      <c r="BZ1197" s="30"/>
    </row>
    <row r="1198" spans="1:78" s="142" customFormat="1" ht="5.0999999999999996" hidden="1" customHeight="1">
      <c r="A1198" s="808"/>
      <c r="B1198" s="166"/>
      <c r="C1198" s="166"/>
      <c r="D1198" s="166"/>
      <c r="E1198" s="166"/>
      <c r="F1198" s="166"/>
      <c r="G1198" s="166"/>
      <c r="M1198" s="143"/>
      <c r="N1198" s="143"/>
      <c r="O1198" s="733"/>
      <c r="P1198" s="33"/>
      <c r="Q1198" s="33"/>
      <c r="R1198" s="33"/>
      <c r="S1198" s="23"/>
      <c r="T1198" s="23"/>
      <c r="U1198" s="23"/>
      <c r="V1198" s="78"/>
      <c r="W1198" s="30"/>
      <c r="X1198" s="30"/>
      <c r="Y1198" s="494"/>
      <c r="Z1198" s="30"/>
      <c r="AA1198" s="30"/>
      <c r="AB1198" s="30"/>
      <c r="AC1198" s="30"/>
      <c r="AD1198" s="30"/>
      <c r="AE1198" s="30"/>
      <c r="AF1198" s="58"/>
      <c r="AG1198" s="30"/>
      <c r="AH1198" s="30"/>
      <c r="AI1198" s="30"/>
      <c r="AJ1198" s="504"/>
      <c r="AK1198" s="504"/>
      <c r="AL1198" s="342"/>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hidden="1" customHeight="1" thickBot="1">
      <c r="A1199" s="808"/>
      <c r="B1199" s="166"/>
      <c r="C1199" s="166"/>
      <c r="D1199" s="166"/>
      <c r="E1199" s="1550" t="str">
        <f>IF(E1196="","",IF(T1197=TRUE,HYPERLINK("#JUMP_14",EUconst_MsgGoOnPFC),HYPERLINK("#JUMP_E_8",EUconst_FurtherGuidancePoint1)))</f>
        <v/>
      </c>
      <c r="F1199" s="1550"/>
      <c r="G1199" s="1550"/>
      <c r="H1199" s="1550"/>
      <c r="I1199" s="1550"/>
      <c r="J1199" s="1550"/>
      <c r="K1199" s="1550"/>
      <c r="L1199" s="1550"/>
      <c r="M1199" s="1550"/>
      <c r="N1199" s="143"/>
      <c r="O1199" s="733"/>
      <c r="P1199" s="33"/>
      <c r="Q1199" s="352" t="str">
        <f>EUconst_SumNonSustBioCO2 &amp; "_" &amp; K1196</f>
        <v>SUM_bioNonSustCO2_</v>
      </c>
      <c r="R1199" s="707"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4"/>
      <c r="AK1199" s="504"/>
      <c r="AL1199" s="342"/>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hidden="1" customHeight="1">
      <c r="A1200" s="808"/>
      <c r="B1200" s="166"/>
      <c r="C1200" s="166"/>
      <c r="D1200" s="166"/>
      <c r="E1200" s="166"/>
      <c r="F1200" s="166"/>
      <c r="G1200" s="166"/>
      <c r="M1200" s="143"/>
      <c r="N1200" s="143"/>
      <c r="O1200" s="733"/>
      <c r="P1200" s="23"/>
      <c r="Q1200" s="23"/>
      <c r="R1200" s="23"/>
      <c r="S1200" s="23"/>
      <c r="T1200" s="23"/>
      <c r="U1200" s="23"/>
      <c r="V1200" s="30"/>
      <c r="W1200" s="30"/>
      <c r="X1200" s="30"/>
      <c r="Y1200" s="494"/>
      <c r="Z1200" s="30"/>
      <c r="AA1200" s="30"/>
      <c r="AB1200" s="30"/>
      <c r="AC1200" s="30"/>
      <c r="AD1200" s="30"/>
      <c r="AE1200" s="30"/>
      <c r="AF1200" s="58"/>
      <c r="AG1200" s="30"/>
      <c r="AH1200" s="30"/>
      <c r="AI1200" s="30"/>
      <c r="AJ1200" s="504"/>
      <c r="AK1200" s="504"/>
      <c r="AL1200" s="342"/>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hidden="1" customHeight="1" thickBot="1">
      <c r="A1201" s="808"/>
      <c r="B1201" s="166"/>
      <c r="C1201" s="814" t="s">
        <v>4</v>
      </c>
      <c r="D1201" s="512" t="str">
        <f>Translations!$B$622</f>
        <v>VD:</v>
      </c>
      <c r="E1201" s="1560" t="str">
        <f>Translations!$B$667</f>
        <v>Ar veiklos duomenys gaunami sudedant išmatuotus kiekius (t. y. ne atliekant nuolatinius matavimus)?</v>
      </c>
      <c r="F1201" s="1560"/>
      <c r="G1201" s="1560"/>
      <c r="H1201" s="1560"/>
      <c r="I1201" s="1560"/>
      <c r="J1201" s="1560"/>
      <c r="K1201" s="1560"/>
      <c r="L1201" s="1179"/>
      <c r="M1201" s="507"/>
      <c r="O1201" s="733"/>
      <c r="P1201" s="23"/>
      <c r="Q1201" s="23"/>
      <c r="R1201" s="23"/>
      <c r="S1201" s="23"/>
      <c r="T1201" s="23"/>
      <c r="U1201" s="23"/>
      <c r="V1201" s="30"/>
      <c r="W1201" s="30"/>
      <c r="X1201" s="30"/>
      <c r="Y1201" s="494"/>
      <c r="Z1201" s="30"/>
      <c r="AA1201" s="30"/>
      <c r="AB1201" s="30"/>
      <c r="AC1201" s="1172" t="b">
        <f>AND(E1196&lt;&gt;"",T1197&lt;&gt;TRUE)</f>
        <v>0</v>
      </c>
      <c r="AD1201" s="30"/>
      <c r="AE1201" s="30"/>
      <c r="AF1201" s="58"/>
      <c r="AG1201" s="30"/>
      <c r="AH1201" s="30"/>
      <c r="AI1201" s="30"/>
      <c r="AJ1201" s="504"/>
      <c r="AK1201" s="504"/>
      <c r="AL1201" s="342"/>
      <c r="AM1201" s="30"/>
      <c r="AN1201" s="30"/>
      <c r="AO1201" s="30"/>
      <c r="AP1201" s="30"/>
      <c r="AQ1201" s="30"/>
      <c r="AR1201" s="30"/>
      <c r="AS1201" s="30"/>
      <c r="AT1201" s="1172"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2" t="b">
        <f>OR(CNTR_CalcRelevant=EUconst_NotRelevant,AND(COUNTA(CNTR_ListRelevantSections)&gt;0,OR(T1197=TRUE,E1196="")))</f>
        <v>1</v>
      </c>
    </row>
    <row r="1202" spans="1:78" s="142" customFormat="1" ht="4.5" hidden="1" customHeight="1">
      <c r="A1202" s="808"/>
      <c r="B1202" s="166"/>
      <c r="C1202" s="166"/>
      <c r="D1202" s="166"/>
      <c r="E1202" s="166"/>
      <c r="F1202" s="166"/>
      <c r="G1202" s="166"/>
      <c r="H1202" s="495"/>
      <c r="I1202" s="495"/>
      <c r="J1202" s="495"/>
      <c r="K1202" s="495"/>
      <c r="L1202" s="495"/>
      <c r="M1202" s="507"/>
      <c r="O1202" s="733"/>
      <c r="P1202" s="23"/>
      <c r="Q1202" s="23"/>
      <c r="R1202" s="23"/>
      <c r="S1202" s="23"/>
      <c r="T1202" s="23"/>
      <c r="U1202" s="23"/>
      <c r="V1202" s="30"/>
      <c r="W1202" s="30"/>
      <c r="X1202" s="30"/>
      <c r="Y1202" s="494"/>
      <c r="Z1202" s="30"/>
      <c r="AA1202" s="30"/>
      <c r="AB1202" s="30"/>
      <c r="AC1202" s="492"/>
      <c r="AD1202" s="30"/>
      <c r="AE1202" s="30"/>
      <c r="AF1202" s="58"/>
      <c r="AG1202" s="30"/>
      <c r="AH1202" s="30"/>
      <c r="AI1202" s="30"/>
      <c r="AJ1202" s="504"/>
      <c r="AK1202" s="504"/>
      <c r="AL1202" s="342"/>
      <c r="AM1202" s="30"/>
      <c r="AN1202" s="30"/>
      <c r="AO1202" s="30"/>
      <c r="AP1202" s="30"/>
      <c r="AQ1202" s="30"/>
      <c r="AR1202" s="30"/>
      <c r="AS1202" s="30"/>
      <c r="AT1202" s="492"/>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2"/>
    </row>
    <row r="1203" spans="1:78" s="142" customFormat="1" ht="12.75" hidden="1" customHeight="1" thickBot="1">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3"/>
      <c r="Q1203" s="23"/>
      <c r="R1203" s="23"/>
      <c r="S1203" s="23"/>
      <c r="T1203" s="23"/>
      <c r="U1203" s="23"/>
      <c r="V1203" s="30"/>
      <c r="W1203" s="30"/>
      <c r="X1203" s="30"/>
      <c r="Y1203" s="494"/>
      <c r="Z1203" s="30"/>
      <c r="AA1203" s="30"/>
      <c r="AB1203" s="30"/>
      <c r="AC1203" s="1172" t="b">
        <f>AC1201</f>
        <v>0</v>
      </c>
      <c r="AD1203" s="30"/>
      <c r="AE1203" s="30"/>
      <c r="AF1203" s="58"/>
      <c r="AG1203" s="30"/>
      <c r="AH1203" s="30"/>
      <c r="AI1203" s="30"/>
      <c r="AJ1203" s="504"/>
      <c r="AK1203" s="504"/>
      <c r="AL1203" s="342"/>
      <c r="AM1203" s="30"/>
      <c r="AN1203" s="30"/>
      <c r="AO1203" s="30"/>
      <c r="AP1203" s="30"/>
      <c r="AQ1203" s="30"/>
      <c r="AR1203" s="30"/>
      <c r="AS1203" s="30"/>
      <c r="AT1203" s="1172"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2" t="b">
        <f>OR(BZ1201,AND(NOT(ISBLANK(L1201)),L1201=FALSE))</f>
        <v>1</v>
      </c>
    </row>
    <row r="1204" spans="1:78" s="142" customFormat="1" ht="4.5" hidden="1" customHeight="1">
      <c r="A1204" s="808"/>
      <c r="B1204" s="166"/>
      <c r="C1204" s="166"/>
      <c r="D1204" s="166"/>
      <c r="E1204" s="166"/>
      <c r="F1204" s="166"/>
      <c r="G1204" s="166"/>
      <c r="M1204" s="143"/>
      <c r="N1204" s="143"/>
      <c r="O1204" s="733"/>
      <c r="P1204" s="23"/>
      <c r="Q1204" s="23"/>
      <c r="R1204" s="23"/>
      <c r="S1204" s="23"/>
      <c r="T1204" s="23"/>
      <c r="U1204" s="23"/>
      <c r="V1204" s="30"/>
      <c r="W1204" s="30"/>
      <c r="X1204" s="30"/>
      <c r="Y1204" s="494"/>
      <c r="Z1204" s="30"/>
      <c r="AA1204" s="30"/>
      <c r="AB1204" s="30"/>
      <c r="AC1204" s="30"/>
      <c r="AD1204" s="30"/>
      <c r="AE1204" s="30"/>
      <c r="AF1204" s="58"/>
      <c r="AG1204" s="30"/>
      <c r="AH1204" s="30"/>
      <c r="AI1204" s="30"/>
      <c r="AJ1204" s="504"/>
      <c r="AK1204" s="504"/>
      <c r="AL1204" s="342"/>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hidden="1" customHeight="1" thickBot="1">
      <c r="A1205" s="808"/>
      <c r="B1205" s="166"/>
      <c r="C1205" s="166"/>
      <c r="D1205" s="166"/>
      <c r="E1205" s="166"/>
      <c r="F1205" s="506" t="str">
        <f>Translations!$B$333</f>
        <v>Pakopa</v>
      </c>
      <c r="G1205" s="1557" t="str">
        <f>Translations!$B$672</f>
        <v>pakopos aprašas</v>
      </c>
      <c r="H1205" s="1557"/>
      <c r="I1205" s="1555" t="str">
        <f>Translations!$B$158</f>
        <v>Vienetas</v>
      </c>
      <c r="J1205" s="1555"/>
      <c r="K1205" s="1555" t="str">
        <f>Translations!$B$673</f>
        <v>Vertė</v>
      </c>
      <c r="L1205" s="1555"/>
      <c r="M1205" s="507" t="str">
        <f>Translations!$B$610</f>
        <v>klaida</v>
      </c>
      <c r="O1205" s="733"/>
      <c r="P1205" s="508"/>
      <c r="Q1205" s="352" t="str">
        <f>EUconst_SumEnergyIN &amp; "_" &amp; K1196</f>
        <v>SUM_EnergyIN_</v>
      </c>
      <c r="R1205" s="399" t="str">
        <f>IF(OR(K1196="",T1197)=TRUE,"",INDEX(BC1211:BE1211,MATCH(K1196,BC1206:BE1206,0)))</f>
        <v/>
      </c>
      <c r="S1205" s="30"/>
      <c r="T1205" s="489"/>
      <c r="U1205" s="30"/>
      <c r="V1205" s="509" t="s">
        <v>303</v>
      </c>
      <c r="W1205" s="30"/>
      <c r="X1205" s="30"/>
      <c r="Y1205" s="494" t="s">
        <v>566</v>
      </c>
      <c r="Z1205" s="494" t="s">
        <v>318</v>
      </c>
      <c r="AA1205" s="30"/>
      <c r="AB1205" s="30"/>
      <c r="AC1205" s="505" t="s">
        <v>309</v>
      </c>
      <c r="AD1205" s="30"/>
      <c r="AE1205" s="30"/>
      <c r="AF1205" s="492" t="s">
        <v>305</v>
      </c>
      <c r="AG1205" s="492" t="s">
        <v>306</v>
      </c>
      <c r="AH1205" s="494" t="s">
        <v>304</v>
      </c>
      <c r="AI1205" s="504" t="s">
        <v>307</v>
      </c>
      <c r="AJ1205" s="504" t="s">
        <v>567</v>
      </c>
      <c r="AK1205" s="510" t="s">
        <v>311</v>
      </c>
      <c r="AL1205" s="342"/>
      <c r="AM1205" s="30"/>
      <c r="AN1205" s="492" t="s">
        <v>305</v>
      </c>
      <c r="AO1205" s="492" t="s">
        <v>306</v>
      </c>
      <c r="AP1205" s="511" t="s">
        <v>310</v>
      </c>
      <c r="AQ1205" s="504" t="s">
        <v>569</v>
      </c>
      <c r="AR1205" s="504" t="s">
        <v>568</v>
      </c>
      <c r="AS1205" s="510" t="s">
        <v>609</v>
      </c>
      <c r="AT1205" s="510" t="s">
        <v>609</v>
      </c>
      <c r="AU1205" s="30"/>
      <c r="AV1205" s="492"/>
      <c r="AW1205" s="492"/>
      <c r="AX1205" s="492" t="s">
        <v>321</v>
      </c>
      <c r="AY1205" s="492"/>
      <c r="AZ1205" s="492"/>
      <c r="BA1205" s="492"/>
      <c r="BB1205" s="492"/>
      <c r="BC1205" s="492"/>
      <c r="BD1205" s="492"/>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3" t="s">
        <v>262</v>
      </c>
    </row>
    <row r="1206" spans="1:78" s="142" customFormat="1" ht="12.75" hidden="1" customHeight="1" thickBot="1">
      <c r="A1206" s="808"/>
      <c r="B1206" s="166"/>
      <c r="C1206" s="777" t="s">
        <v>196</v>
      </c>
      <c r="D1206" s="512" t="str">
        <f>Translations!$B$622</f>
        <v>VD:</v>
      </c>
      <c r="E1206" s="513"/>
      <c r="F1206" s="402"/>
      <c r="G1206" s="1532" t="str">
        <f>IF(OR(ISBLANK(F1206),F1206=EUconst_NoTier),"",IF(Z1206=0,EUconst_NA,IF(ISERROR(Z1206),"",Z1206)))</f>
        <v/>
      </c>
      <c r="H1206" s="1533"/>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0"/>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0"/>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0"/>
      <c r="AV1206" s="492" t="s">
        <v>314</v>
      </c>
      <c r="AW1206" s="492" t="s">
        <v>319</v>
      </c>
      <c r="AX1206" s="524"/>
      <c r="AY1206" s="30" t="s">
        <v>542</v>
      </c>
      <c r="AZ1206" s="30"/>
      <c r="BA1206" s="30"/>
      <c r="BB1206" s="504"/>
      <c r="BC1206" s="493" t="str">
        <f>EUconst_Fuel</f>
        <v>Degimas</v>
      </c>
      <c r="BD1206" s="493" t="str">
        <f>EUconst_ProcessCarbonate</f>
        <v>Proceso metu išsiskiriančios ŠESD</v>
      </c>
      <c r="BE1206" s="493"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4" t="b">
        <f>BZ1201</f>
        <v>1</v>
      </c>
    </row>
    <row r="1207" spans="1:78" s="142" customFormat="1" ht="4.5" hidden="1" customHeight="1">
      <c r="A1207" s="808"/>
      <c r="B1207" s="166"/>
      <c r="C1207" s="814"/>
      <c r="D1207" s="306"/>
      <c r="F1207" s="143"/>
      <c r="G1207" s="143"/>
      <c r="H1207" s="143" t="s">
        <v>236</v>
      </c>
      <c r="I1207" s="525"/>
      <c r="J1207" s="525"/>
      <c r="K1207" s="143"/>
      <c r="L1207" s="143"/>
      <c r="M1207" s="710"/>
      <c r="O1207" s="733"/>
      <c r="P1207" s="33"/>
      <c r="Q1207" s="33"/>
      <c r="R1207" s="33"/>
      <c r="S1207" s="30"/>
      <c r="T1207" s="155"/>
      <c r="U1207" s="497"/>
      <c r="V1207" s="30"/>
      <c r="W1207" s="30"/>
      <c r="X1207" s="497"/>
      <c r="Y1207" s="526"/>
      <c r="Z1207" s="30"/>
      <c r="AA1207" s="30"/>
      <c r="AB1207" s="30"/>
      <c r="AC1207" s="30"/>
      <c r="AD1207" s="30"/>
      <c r="AE1207" s="30"/>
      <c r="AF1207" s="30"/>
      <c r="AG1207" s="30"/>
      <c r="AH1207" s="30"/>
      <c r="AI1207" s="30"/>
      <c r="AJ1207" s="30"/>
      <c r="AK1207" s="30"/>
      <c r="AL1207" s="342"/>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3"/>
    </row>
    <row r="1208" spans="1:78" s="142" customFormat="1" ht="12.75" hidden="1" customHeight="1" thickBot="1">
      <c r="A1208" s="808"/>
      <c r="B1208" s="166"/>
      <c r="C1208" s="814" t="s">
        <v>197</v>
      </c>
      <c r="D1208" s="512" t="str">
        <f>Translations!$B$634</f>
        <v>(prelim.) ITF:</v>
      </c>
      <c r="E1208" s="513"/>
      <c r="F1208" s="527"/>
      <c r="G1208" s="1532" t="str">
        <f t="shared" ref="G1208:G1214" si="294">IF(OR(ISBLANK(F1208),F1208=EUconst_NoTier),"",IF(Z1208=0,EUconst_NotApplicable,IF(ISERROR(Z1208),"",Z1208)))</f>
        <v/>
      </c>
      <c r="H1208" s="1556"/>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3"/>
      <c r="Q1208" s="33"/>
      <c r="R1208" s="33"/>
      <c r="S1208" s="30"/>
      <c r="T1208" s="530" t="str">
        <f>EUconst_CNTR_EF&amp;E1197</f>
        <v>EF_</v>
      </c>
      <c r="U1208" s="497"/>
      <c r="V1208" s="531" t="str">
        <f>V1206</f>
        <v/>
      </c>
      <c r="W1208" s="30"/>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0"/>
      <c r="AC1208" s="535" t="b">
        <f>AND(AC1206,Y1208&lt;&gt;EUconst_NA)</f>
        <v>0</v>
      </c>
      <c r="AD1208" s="30"/>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0"/>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0"/>
      <c r="BA1208" s="30"/>
      <c r="BB1208" s="547" t="s">
        <v>594</v>
      </c>
      <c r="BC1208" s="546" t="str">
        <f>IF(K1196=BC1206,AR1206*IF(AJ1208=EUconst_tCO2pTJ,(AR1209/1000),1)*AR1208*AR1210*AR1214,"")</f>
        <v/>
      </c>
      <c r="BD1208" s="524" t="str">
        <f>IF(K1196=BD1206,AR1206*AR1208*AR1211*AR1214,"")</f>
        <v/>
      </c>
      <c r="BE1208" s="523"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1" t="b">
        <f>OR(BZ1206,Y1208=EUconst_NA)</f>
        <v>1</v>
      </c>
    </row>
    <row r="1209" spans="1:78" s="142" customFormat="1" ht="12.75" hidden="1" customHeight="1" thickBot="1">
      <c r="A1209" s="808"/>
      <c r="B1209" s="166"/>
      <c r="C1209" s="814" t="s">
        <v>198</v>
      </c>
      <c r="D1209" s="512" t="str">
        <f>Translations!$B$636</f>
        <v>GŠV:</v>
      </c>
      <c r="E1209" s="513"/>
      <c r="F1209" s="548"/>
      <c r="G1209" s="1532" t="str">
        <f t="shared" si="294"/>
        <v/>
      </c>
      <c r="H1209" s="1533"/>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3"/>
      <c r="Q1209" s="33"/>
      <c r="R1209" s="33"/>
      <c r="S1209" s="30"/>
      <c r="T1209" s="552" t="str">
        <f>EUconst_CNTR_NCV&amp;E1197</f>
        <v>NCV_</v>
      </c>
      <c r="U1209" s="497"/>
      <c r="V1209" s="553" t="str">
        <f t="shared" ref="V1209:V1214" si="300">V1208</f>
        <v/>
      </c>
      <c r="W1209" s="30"/>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0"/>
      <c r="AC1209" s="557" t="b">
        <f>AND(AC1206,Y1209&lt;&gt;EUconst_NA)</f>
        <v>0</v>
      </c>
      <c r="AD1209" s="30"/>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0"/>
      <c r="AV1209" s="567" t="b">
        <f t="shared" si="297"/>
        <v>0</v>
      </c>
      <c r="AW1209" s="568" t="b">
        <f t="shared" si="298"/>
        <v>0</v>
      </c>
      <c r="AX1209" s="30"/>
      <c r="AY1209" s="553" t="b">
        <f t="shared" si="299"/>
        <v>0</v>
      </c>
      <c r="AZ1209" s="30"/>
      <c r="BA1209" s="30"/>
      <c r="BB1209" s="547" t="s">
        <v>595</v>
      </c>
      <c r="BC1209" s="546" t="str">
        <f>IF(K1196=BC1206,AR1206*IF(AJ1208=EUconst_tCO2pTJ,(AR1209/1000),1)*AR1208*AR1210*AR1213,"")</f>
        <v/>
      </c>
      <c r="BD1209" s="524" t="str">
        <f>IF(K1196=BD1206,AR1206*AR1208*AR1211*AR1213,"")</f>
        <v/>
      </c>
      <c r="BE1209" s="523"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3" t="b">
        <f>OR(BZ1206,Y1209=EUconst_NA)</f>
        <v>1</v>
      </c>
    </row>
    <row r="1210" spans="1:78" s="142" customFormat="1" ht="12.75" hidden="1" customHeight="1" thickBot="1">
      <c r="A1210" s="808"/>
      <c r="B1210" s="166"/>
      <c r="C1210" s="814" t="s">
        <v>199</v>
      </c>
      <c r="D1210" s="512" t="str">
        <f>Translations!$B$638</f>
        <v>OksK:</v>
      </c>
      <c r="E1210" s="513"/>
      <c r="F1210" s="548"/>
      <c r="G1210" s="1532" t="str">
        <f t="shared" si="294"/>
        <v/>
      </c>
      <c r="H1210" s="1533"/>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3"/>
      <c r="Q1210" s="33"/>
      <c r="R1210" s="33"/>
      <c r="S1210" s="30"/>
      <c r="T1210" s="552" t="str">
        <f>EUconst_CNTR_OxidationFactor&amp;E1197</f>
        <v>OxF_</v>
      </c>
      <c r="U1210" s="497"/>
      <c r="V1210" s="553" t="str">
        <f t="shared" si="300"/>
        <v/>
      </c>
      <c r="W1210" s="30"/>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0"/>
      <c r="AC1210" s="557" t="b">
        <f>AND(AC1206,Y1210&lt;&gt;EUconst_NA)</f>
        <v>0</v>
      </c>
      <c r="AD1210" s="30"/>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0"/>
      <c r="AV1210" s="567" t="b">
        <f t="shared" si="297"/>
        <v>0</v>
      </c>
      <c r="AW1210" s="568" t="b">
        <f t="shared" si="298"/>
        <v>0</v>
      </c>
      <c r="AX1210" s="30"/>
      <c r="AY1210" s="594" t="b">
        <f t="shared" si="299"/>
        <v>0</v>
      </c>
      <c r="AZ1210" s="531" t="b">
        <f>AR1210&gt;100%</f>
        <v>0</v>
      </c>
      <c r="BA1210" s="30"/>
      <c r="BB1210" s="547" t="s">
        <v>290</v>
      </c>
      <c r="BC1210" s="546" t="str">
        <f>IF(K1196=BC1206,AR1206*IF(AJ1208=EUconst_tCO2pTJ,(AR1209/1000),1)*AR1208*AR1210*(1-AR1213),"")</f>
        <v/>
      </c>
      <c r="BD1210" s="524" t="str">
        <f>IF(K1196=BD1206,AR1206*AR1208*AR1211*(1-AR1213),"")</f>
        <v/>
      </c>
      <c r="BE1210" s="523"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3" t="b">
        <f>OR(BZ1206,Y1210=EUconst_NA)</f>
        <v>1</v>
      </c>
    </row>
    <row r="1211" spans="1:78" s="142" customFormat="1" ht="12.75" hidden="1" customHeight="1" thickBot="1">
      <c r="A1211" s="808"/>
      <c r="B1211" s="166"/>
      <c r="C1211" s="814" t="s">
        <v>200</v>
      </c>
      <c r="D1211" s="512" t="str">
        <f>Translations!$B$639</f>
        <v>KonvK:</v>
      </c>
      <c r="E1211" s="513"/>
      <c r="F1211" s="548"/>
      <c r="G1211" s="1532" t="str">
        <f t="shared" si="294"/>
        <v/>
      </c>
      <c r="H1211" s="1533"/>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3"/>
      <c r="Q1211" s="33"/>
      <c r="R1211" s="33"/>
      <c r="S1211" s="30"/>
      <c r="T1211" s="552" t="str">
        <f>EUconst_CNTR_ConversionFactor&amp;E1197</f>
        <v>ConvF_</v>
      </c>
      <c r="U1211" s="497"/>
      <c r="V1211" s="553" t="str">
        <f t="shared" si="300"/>
        <v/>
      </c>
      <c r="W1211" s="30"/>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0"/>
      <c r="AC1211" s="557" t="b">
        <f>AND(AC1206,Y1211&lt;&gt;EUconst_NA)</f>
        <v>0</v>
      </c>
      <c r="AD1211" s="30"/>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0"/>
      <c r="AV1211" s="567" t="b">
        <f t="shared" si="297"/>
        <v>0</v>
      </c>
      <c r="AW1211" s="568" t="b">
        <f t="shared" si="298"/>
        <v>0</v>
      </c>
      <c r="AX1211" s="30"/>
      <c r="AY1211" s="594" t="b">
        <f t="shared" si="299"/>
        <v>0</v>
      </c>
      <c r="AZ1211" s="580" t="b">
        <f>AR1211&gt;100%</f>
        <v>0</v>
      </c>
      <c r="BA1211" s="30"/>
      <c r="BB1211" s="578" t="s">
        <v>487</v>
      </c>
      <c r="BC1211" s="579">
        <f>AR1206*AR1209/1000*(1-AR1213)</f>
        <v>0</v>
      </c>
      <c r="BD1211" s="580">
        <f>BC1211</f>
        <v>0</v>
      </c>
      <c r="BE1211" s="581">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3" t="b">
        <f>OR(BZ1206,Y1211=EUconst_NA)</f>
        <v>1</v>
      </c>
    </row>
    <row r="1212" spans="1:78" s="142" customFormat="1" ht="12.75" hidden="1" customHeight="1" thickBot="1">
      <c r="A1212" s="808"/>
      <c r="B1212" s="166"/>
      <c r="C1212" s="814" t="s">
        <v>329</v>
      </c>
      <c r="D1212" s="512" t="str">
        <f>Translations!$B$640</f>
        <v>AnglK:</v>
      </c>
      <c r="E1212" s="513"/>
      <c r="F1212" s="548"/>
      <c r="G1212" s="1532" t="str">
        <f t="shared" si="294"/>
        <v/>
      </c>
      <c r="H1212" s="1533"/>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3"/>
      <c r="Q1212" s="33"/>
      <c r="R1212" s="33"/>
      <c r="S1212" s="30"/>
      <c r="T1212" s="552" t="str">
        <f>EUconst_CNTR_CarbonContent&amp;E1197</f>
        <v>CarbC_</v>
      </c>
      <c r="U1212" s="497"/>
      <c r="V1212" s="553" t="str">
        <f t="shared" si="300"/>
        <v/>
      </c>
      <c r="W1212" s="30"/>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0"/>
      <c r="AC1212" s="557" t="b">
        <f>AND(AC1206,Y1212&lt;&gt;EUconst_NA)</f>
        <v>0</v>
      </c>
      <c r="AD1212" s="30"/>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0"/>
      <c r="AV1212" s="567" t="b">
        <f t="shared" si="297"/>
        <v>0</v>
      </c>
      <c r="AW1212" s="568" t="b">
        <f t="shared" si="298"/>
        <v>0</v>
      </c>
      <c r="AX1212" s="546" t="b">
        <f>OR(AND(AJ1206=EUconst_kNm3,AJ1212=EUconst_tCpt),AND(AJ1206=EUconst_t,AJ1212=EUconst_tCpkNm3))</f>
        <v>0</v>
      </c>
      <c r="AY1212" s="553" t="b">
        <f t="shared" si="299"/>
        <v>0</v>
      </c>
      <c r="AZ1212" s="30"/>
      <c r="BA1212" s="30"/>
      <c r="BB1212" s="578" t="s">
        <v>488</v>
      </c>
      <c r="BC1212" s="579">
        <f>AR1206*AR1209/1000*AR1213</f>
        <v>0</v>
      </c>
      <c r="BD1212" s="580">
        <f>BC1212</f>
        <v>0</v>
      </c>
      <c r="BE1212" s="581">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3" t="b">
        <f>OR(BZ1206,Y1212=EUconst_NA)</f>
        <v>1</v>
      </c>
    </row>
    <row r="1213" spans="1:78" s="142" customFormat="1" ht="12.75" hidden="1" customHeight="1">
      <c r="A1213" s="808"/>
      <c r="B1213" s="166"/>
      <c r="C1213" s="777" t="s">
        <v>330</v>
      </c>
      <c r="D1213" s="512" t="str">
        <f>Translations!$B$641</f>
        <v>BioC:</v>
      </c>
      <c r="E1213" s="513"/>
      <c r="F1213" s="548"/>
      <c r="G1213" s="1532" t="str">
        <f t="shared" si="294"/>
        <v/>
      </c>
      <c r="H1213" s="1533"/>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0"/>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0"/>
      <c r="AC1213" s="557" t="b">
        <f>AND(AC1206,Y1213&lt;&gt;EUconst_NA)</f>
        <v>0</v>
      </c>
      <c r="AD1213" s="30"/>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0"/>
      <c r="AV1213" s="567" t="b">
        <f t="shared" si="297"/>
        <v>0</v>
      </c>
      <c r="AW1213" s="568" t="b">
        <f t="shared" si="298"/>
        <v>0</v>
      </c>
      <c r="AX1213" s="30"/>
      <c r="AY1213" s="594" t="b">
        <f t="shared" si="299"/>
        <v>0</v>
      </c>
      <c r="AZ1213" s="531"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3" t="b">
        <f>OR(BZ1206,Y1213=EUconst_NA)</f>
        <v>1</v>
      </c>
    </row>
    <row r="1214" spans="1:78" s="142" customFormat="1" ht="12.75" hidden="1" customHeight="1" thickBot="1">
      <c r="A1214" s="808"/>
      <c r="B1214" s="166"/>
      <c r="C1214" s="777" t="s">
        <v>454</v>
      </c>
      <c r="D1214" s="512" t="str">
        <f>Translations!$B$647</f>
        <v>Netvar. BioC:</v>
      </c>
      <c r="E1214" s="513"/>
      <c r="F1214" s="597"/>
      <c r="G1214" s="1532" t="str">
        <f t="shared" si="294"/>
        <v/>
      </c>
      <c r="H1214" s="1533"/>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0"/>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0"/>
      <c r="AC1214" s="603" t="b">
        <f>AND(AC1206,Y1214&lt;&gt;EUconst_NA)</f>
        <v>0</v>
      </c>
      <c r="AD1214" s="30"/>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0"/>
      <c r="AV1214" s="613" t="b">
        <f t="shared" si="297"/>
        <v>0</v>
      </c>
      <c r="AW1214" s="614" t="b">
        <f t="shared" si="298"/>
        <v>0</v>
      </c>
      <c r="AX1214" s="30"/>
      <c r="AY1214" s="579" t="b">
        <f t="shared" si="299"/>
        <v>0</v>
      </c>
      <c r="AZ1214" s="580"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80" t="b">
        <f>OR(BZ1206,Y1214=EUconst_NA)</f>
        <v>1</v>
      </c>
    </row>
    <row r="1215" spans="1:78" s="142" customFormat="1" ht="4.5" hidden="1" customHeight="1">
      <c r="A1215" s="808"/>
      <c r="B1215" s="166"/>
      <c r="C1215" s="166"/>
      <c r="D1215" s="180"/>
      <c r="O1215" s="733"/>
      <c r="P1215" s="33"/>
      <c r="Q1215" s="33"/>
      <c r="R1215" s="33"/>
      <c r="S1215" s="174"/>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hidden="1" customHeight="1">
      <c r="A1216" s="808"/>
      <c r="B1216" s="166"/>
      <c r="C1216" s="166"/>
      <c r="D1216" s="1558" t="str">
        <f>Translations!$B$674</f>
        <v>Pakopos galioja nuo:</v>
      </c>
      <c r="E1216" s="1558"/>
      <c r="F1216" s="1559"/>
      <c r="G1216" s="1052"/>
      <c r="H1216" s="615" t="str">
        <f>Translations!$B$675</f>
        <v>iki:</v>
      </c>
      <c r="I1216" s="1052"/>
      <c r="J1216" s="1536" t="str">
        <f>Translations!$B$676</f>
        <v>Atliekų katalogo numeris (jeigu taikytina):</v>
      </c>
      <c r="K1216" s="1537"/>
      <c r="L1216" s="1537"/>
      <c r="M1216" s="1538"/>
      <c r="N1216" s="1289"/>
      <c r="O1216" s="733"/>
      <c r="P1216" s="33"/>
      <c r="Q1216" s="33"/>
      <c r="R1216" s="33"/>
      <c r="S1216" s="1290"/>
      <c r="T1216" s="492"/>
      <c r="U1216" s="492"/>
      <c r="V1216" s="48" t="b">
        <f>IF(V1206="",FALSE,INDEX(CNTR_IsWaste,MATCH(V1206,MSParameters!$A$218:$A$376,0)))</f>
        <v>0</v>
      </c>
      <c r="W1216" s="1290"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hidden="1" customHeight="1">
      <c r="A1217" s="808"/>
      <c r="B1217" s="166"/>
      <c r="C1217" s="166"/>
      <c r="D1217" s="615"/>
      <c r="E1217" s="495"/>
      <c r="F1217" s="495"/>
      <c r="G1217" s="495"/>
      <c r="H1217" s="495"/>
      <c r="I1217" s="495"/>
      <c r="J1217" s="495"/>
      <c r="K1217" s="495"/>
      <c r="L1217" s="495"/>
      <c r="M1217" s="495"/>
      <c r="N1217" s="495"/>
      <c r="O1217" s="733"/>
      <c r="P1217" s="33"/>
      <c r="Q1217" s="33"/>
      <c r="R1217" s="33"/>
      <c r="S1217" s="174"/>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hidden="1" customHeight="1">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3"/>
      <c r="Q1218" s="33"/>
      <c r="R1218" s="33"/>
      <c r="S1218" s="174"/>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hidden="1" customHeight="1">
      <c r="A1219" s="815"/>
      <c r="D1219" s="180"/>
      <c r="O1219" s="573"/>
      <c r="P1219" s="497"/>
      <c r="Q1219" s="497"/>
      <c r="R1219" s="497"/>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hidden="1">
      <c r="A1220" s="815"/>
      <c r="D1220" s="1534" t="str">
        <f>Translations!$B$160</f>
        <v>Pastabos:</v>
      </c>
      <c r="E1220" s="1535"/>
      <c r="F1220" s="1539"/>
      <c r="G1220" s="1540"/>
      <c r="H1220" s="1540"/>
      <c r="I1220" s="1540"/>
      <c r="J1220" s="1540"/>
      <c r="K1220" s="1540"/>
      <c r="L1220" s="1540"/>
      <c r="M1220" s="1540"/>
      <c r="N1220" s="1541"/>
      <c r="O1220" s="573"/>
      <c r="P1220" s="497"/>
      <c r="Q1220" s="497"/>
      <c r="R1220" s="497"/>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c r="A1221" s="808"/>
      <c r="B1221" s="495"/>
      <c r="C1221" s="499"/>
      <c r="D1221" s="500"/>
      <c r="E1221" s="501"/>
      <c r="F1221" s="499"/>
      <c r="G1221" s="502"/>
      <c r="H1221" s="502"/>
      <c r="I1221" s="502"/>
      <c r="J1221" s="502"/>
      <c r="K1221" s="502"/>
      <c r="L1221" s="502"/>
      <c r="M1221" s="502"/>
      <c r="N1221" s="502"/>
      <c r="O1221" s="740"/>
      <c r="P1221" s="494"/>
      <c r="Q1221" s="494"/>
      <c r="R1221" s="494"/>
      <c r="S1221" s="58"/>
      <c r="T1221" s="58"/>
      <c r="U1221" s="498"/>
      <c r="V1221" s="58"/>
      <c r="W1221" s="58"/>
      <c r="X1221" s="498"/>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c r="A1222" s="813"/>
      <c r="B1222" s="495"/>
      <c r="C1222" s="495"/>
      <c r="D1222" s="180"/>
      <c r="E1222" s="496"/>
      <c r="F1222" s="495"/>
      <c r="G1222" s="487"/>
      <c r="H1222" s="487"/>
      <c r="I1222" s="487"/>
      <c r="J1222" s="487"/>
      <c r="K1222" s="495"/>
      <c r="L1222" s="487"/>
      <c r="M1222" s="487"/>
      <c r="N1222" s="487"/>
      <c r="O1222" s="740"/>
      <c r="P1222" s="494"/>
      <c r="Q1222" s="494"/>
      <c r="R1222" s="494"/>
      <c r="S1222" s="23"/>
      <c r="T1222" s="27" t="str">
        <f>IF(ISBLANK(E1223),"",MATCH(E1223,CNTR_SourceStreamNames,0))</f>
        <v/>
      </c>
      <c r="U1222" s="618"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1"/>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3" t="s">
        <v>262</v>
      </c>
    </row>
    <row r="1223" spans="1:78" s="142" customFormat="1" ht="15" hidden="1" customHeight="1" thickBot="1">
      <c r="A1223" s="869" t="str">
        <f>IF(E1223="","","PRINT")</f>
        <v/>
      </c>
      <c r="B1223" s="166"/>
      <c r="C1223" s="617">
        <f>C1196+1</f>
        <v>44</v>
      </c>
      <c r="D1223" s="166"/>
      <c r="E1223" s="1542"/>
      <c r="F1223" s="1543"/>
      <c r="G1223" s="1543"/>
      <c r="H1223" s="1543"/>
      <c r="I1223" s="1543"/>
      <c r="J1223" s="1544"/>
      <c r="K1223" s="1545" t="str">
        <f>IF(E1224="","",INDEX(EUwideConstants!$F$353:$F$394,MATCH(E1224,EUConst_TierActivityListNames,0)))</f>
        <v/>
      </c>
      <c r="L1223" s="1546"/>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3"/>
      <c r="T1223" s="509" t="s">
        <v>393</v>
      </c>
      <c r="U1223" s="23"/>
      <c r="V1223" s="78"/>
      <c r="W1223" s="56"/>
      <c r="X1223" s="58"/>
      <c r="Y1223" s="58"/>
      <c r="Z1223" s="58"/>
      <c r="AA1223" s="58"/>
      <c r="AB1223" s="58"/>
      <c r="AC1223" s="58"/>
      <c r="AD1223" s="58"/>
      <c r="AE1223" s="58"/>
      <c r="AF1223" s="58"/>
      <c r="AG1223" s="58"/>
      <c r="AH1223" s="58"/>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6"/>
      <c r="BZ1223" s="619" t="b">
        <f>CNTR_CalcRelevant=EUconst_NotRelevant</f>
        <v>0</v>
      </c>
    </row>
    <row r="1224" spans="1:78" s="142" customFormat="1" ht="15" hidden="1" customHeight="1" thickBot="1">
      <c r="A1224" s="808"/>
      <c r="B1224" s="166"/>
      <c r="C1224" s="166"/>
      <c r="D1224" s="166"/>
      <c r="E1224" s="1547" t="str">
        <f>IF(ISBLANK(E1223),"",IF(INDEX(B_InstallationDescription!$E$71:$E$145,MATCH(U1222,B_InstallationDescription!$D$71:$D$145,0))&gt;0,INDEX(B_InstallationDescription!$E$71:$E$145,MATCH(U1222,B_InstallationDescription!$D$71:$D$145,0)),""))</f>
        <v/>
      </c>
      <c r="F1224" s="1548"/>
      <c r="G1224" s="1548"/>
      <c r="H1224" s="1548"/>
      <c r="I1224" s="1548"/>
      <c r="J1224" s="1549"/>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4"/>
      <c r="AH1224" s="30"/>
      <c r="AI1224" s="30"/>
      <c r="AJ1224" s="504"/>
      <c r="AK1224" s="504"/>
      <c r="AL1224" s="342"/>
      <c r="AM1224" s="27" t="s">
        <v>308</v>
      </c>
      <c r="AN1224" s="505"/>
      <c r="AO1224" s="505"/>
      <c r="AP1224" s="30"/>
      <c r="AQ1224" s="30"/>
      <c r="AR1224" s="30"/>
      <c r="AS1224" s="30"/>
      <c r="AT1224" s="30"/>
      <c r="AU1224" s="30"/>
      <c r="AV1224" s="27" t="s">
        <v>315</v>
      </c>
      <c r="AW1224" s="30"/>
      <c r="AX1224" s="492"/>
      <c r="AY1224" s="30"/>
      <c r="AZ1224" s="30"/>
      <c r="BA1224" s="30"/>
      <c r="BB1224" s="27" t="s">
        <v>219</v>
      </c>
      <c r="BC1224" s="30"/>
      <c r="BD1224" s="30"/>
      <c r="BE1224" s="30"/>
      <c r="BF1224" s="30"/>
      <c r="BG1224" s="27"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0"/>
      <c r="BZ1224" s="30"/>
    </row>
    <row r="1225" spans="1:78" s="142" customFormat="1" ht="4.5" hidden="1" customHeight="1">
      <c r="A1225" s="808"/>
      <c r="B1225" s="166"/>
      <c r="C1225" s="166"/>
      <c r="D1225" s="166"/>
      <c r="E1225" s="166"/>
      <c r="F1225" s="166"/>
      <c r="G1225" s="166"/>
      <c r="M1225" s="143"/>
      <c r="N1225" s="143"/>
      <c r="O1225" s="733"/>
      <c r="P1225" s="33"/>
      <c r="Q1225" s="33"/>
      <c r="R1225" s="33"/>
      <c r="S1225" s="23"/>
      <c r="T1225" s="23"/>
      <c r="U1225" s="23"/>
      <c r="V1225" s="78"/>
      <c r="W1225" s="30"/>
      <c r="X1225" s="30"/>
      <c r="Y1225" s="494"/>
      <c r="Z1225" s="30"/>
      <c r="AA1225" s="30"/>
      <c r="AB1225" s="30"/>
      <c r="AC1225" s="30"/>
      <c r="AD1225" s="30"/>
      <c r="AE1225" s="30"/>
      <c r="AF1225" s="58"/>
      <c r="AG1225" s="30"/>
      <c r="AH1225" s="30"/>
      <c r="AI1225" s="30"/>
      <c r="AJ1225" s="504"/>
      <c r="AK1225" s="504"/>
      <c r="AL1225" s="342"/>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hidden="1" customHeight="1" thickBot="1">
      <c r="A1226" s="808"/>
      <c r="B1226" s="166"/>
      <c r="C1226" s="166"/>
      <c r="D1226" s="166"/>
      <c r="E1226" s="1550" t="str">
        <f>IF(E1223="","",IF(T1224=TRUE,HYPERLINK("#JUMP_14",EUconst_MsgGoOnPFC),HYPERLINK("#JUMP_E_8",EUconst_FurtherGuidancePoint1)))</f>
        <v/>
      </c>
      <c r="F1226" s="1550"/>
      <c r="G1226" s="1550"/>
      <c r="H1226" s="1550"/>
      <c r="I1226" s="1550"/>
      <c r="J1226" s="1550"/>
      <c r="K1226" s="1550"/>
      <c r="L1226" s="1550"/>
      <c r="M1226" s="1550"/>
      <c r="N1226" s="143"/>
      <c r="O1226" s="733"/>
      <c r="P1226" s="33"/>
      <c r="Q1226" s="352" t="str">
        <f>EUconst_SumNonSustBioCO2 &amp; "_" &amp; K1223</f>
        <v>SUM_bioNonSustCO2_</v>
      </c>
      <c r="R1226" s="707"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4"/>
      <c r="AK1226" s="504"/>
      <c r="AL1226" s="342"/>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hidden="1" customHeight="1">
      <c r="A1227" s="808"/>
      <c r="B1227" s="166"/>
      <c r="C1227" s="166"/>
      <c r="D1227" s="166"/>
      <c r="E1227" s="166"/>
      <c r="F1227" s="166"/>
      <c r="G1227" s="166"/>
      <c r="M1227" s="143"/>
      <c r="N1227" s="143"/>
      <c r="O1227" s="733"/>
      <c r="P1227" s="23"/>
      <c r="Q1227" s="23"/>
      <c r="R1227" s="23"/>
      <c r="S1227" s="23"/>
      <c r="T1227" s="23"/>
      <c r="U1227" s="23"/>
      <c r="V1227" s="30"/>
      <c r="W1227" s="30"/>
      <c r="X1227" s="30"/>
      <c r="Y1227" s="494"/>
      <c r="Z1227" s="30"/>
      <c r="AA1227" s="30"/>
      <c r="AB1227" s="30"/>
      <c r="AC1227" s="30"/>
      <c r="AD1227" s="30"/>
      <c r="AE1227" s="30"/>
      <c r="AF1227" s="58"/>
      <c r="AG1227" s="30"/>
      <c r="AH1227" s="30"/>
      <c r="AI1227" s="30"/>
      <c r="AJ1227" s="504"/>
      <c r="AK1227" s="504"/>
      <c r="AL1227" s="342"/>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hidden="1" customHeight="1" thickBot="1">
      <c r="A1228" s="808"/>
      <c r="B1228" s="166"/>
      <c r="C1228" s="814" t="s">
        <v>4</v>
      </c>
      <c r="D1228" s="512" t="str">
        <f>Translations!$B$622</f>
        <v>VD:</v>
      </c>
      <c r="E1228" s="1560" t="str">
        <f>Translations!$B$667</f>
        <v>Ar veiklos duomenys gaunami sudedant išmatuotus kiekius (t. y. ne atliekant nuolatinius matavimus)?</v>
      </c>
      <c r="F1228" s="1560"/>
      <c r="G1228" s="1560"/>
      <c r="H1228" s="1560"/>
      <c r="I1228" s="1560"/>
      <c r="J1228" s="1560"/>
      <c r="K1228" s="1560"/>
      <c r="L1228" s="1179"/>
      <c r="M1228" s="507"/>
      <c r="O1228" s="733"/>
      <c r="P1228" s="23"/>
      <c r="Q1228" s="23"/>
      <c r="R1228" s="23"/>
      <c r="S1228" s="23"/>
      <c r="T1228" s="23"/>
      <c r="U1228" s="23"/>
      <c r="V1228" s="30"/>
      <c r="W1228" s="30"/>
      <c r="X1228" s="30"/>
      <c r="Y1228" s="494"/>
      <c r="Z1228" s="30"/>
      <c r="AA1228" s="30"/>
      <c r="AB1228" s="30"/>
      <c r="AC1228" s="1172" t="b">
        <f>AND(E1223&lt;&gt;"",T1224&lt;&gt;TRUE)</f>
        <v>0</v>
      </c>
      <c r="AD1228" s="30"/>
      <c r="AE1228" s="30"/>
      <c r="AF1228" s="58"/>
      <c r="AG1228" s="30"/>
      <c r="AH1228" s="30"/>
      <c r="AI1228" s="30"/>
      <c r="AJ1228" s="504"/>
      <c r="AK1228" s="504"/>
      <c r="AL1228" s="342"/>
      <c r="AM1228" s="30"/>
      <c r="AN1228" s="30"/>
      <c r="AO1228" s="30"/>
      <c r="AP1228" s="30"/>
      <c r="AQ1228" s="30"/>
      <c r="AR1228" s="30"/>
      <c r="AS1228" s="30"/>
      <c r="AT1228" s="1172"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2" t="b">
        <f>OR(CNTR_CalcRelevant=EUconst_NotRelevant,AND(COUNTA(CNTR_ListRelevantSections)&gt;0,OR(T1224=TRUE,E1223="")))</f>
        <v>1</v>
      </c>
    </row>
    <row r="1229" spans="1:78" s="142" customFormat="1" ht="4.5" hidden="1" customHeight="1">
      <c r="A1229" s="808"/>
      <c r="B1229" s="166"/>
      <c r="C1229" s="166"/>
      <c r="D1229" s="166"/>
      <c r="E1229" s="166"/>
      <c r="F1229" s="166"/>
      <c r="G1229" s="166"/>
      <c r="H1229" s="495"/>
      <c r="I1229" s="495"/>
      <c r="J1229" s="495"/>
      <c r="K1229" s="495"/>
      <c r="L1229" s="495"/>
      <c r="M1229" s="507"/>
      <c r="O1229" s="733"/>
      <c r="P1229" s="23"/>
      <c r="Q1229" s="23"/>
      <c r="R1229" s="23"/>
      <c r="S1229" s="23"/>
      <c r="T1229" s="23"/>
      <c r="U1229" s="23"/>
      <c r="V1229" s="30"/>
      <c r="W1229" s="30"/>
      <c r="X1229" s="30"/>
      <c r="Y1229" s="494"/>
      <c r="Z1229" s="30"/>
      <c r="AA1229" s="30"/>
      <c r="AB1229" s="30"/>
      <c r="AC1229" s="492"/>
      <c r="AD1229" s="30"/>
      <c r="AE1229" s="30"/>
      <c r="AF1229" s="58"/>
      <c r="AG1229" s="30"/>
      <c r="AH1229" s="30"/>
      <c r="AI1229" s="30"/>
      <c r="AJ1229" s="504"/>
      <c r="AK1229" s="504"/>
      <c r="AL1229" s="342"/>
      <c r="AM1229" s="30"/>
      <c r="AN1229" s="30"/>
      <c r="AO1229" s="30"/>
      <c r="AP1229" s="30"/>
      <c r="AQ1229" s="30"/>
      <c r="AR1229" s="30"/>
      <c r="AS1229" s="30"/>
      <c r="AT1229" s="492"/>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2"/>
    </row>
    <row r="1230" spans="1:78" s="142" customFormat="1" ht="12.75" hidden="1" customHeight="1" thickBot="1">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3"/>
      <c r="Q1230" s="23"/>
      <c r="R1230" s="23"/>
      <c r="S1230" s="23"/>
      <c r="T1230" s="23"/>
      <c r="U1230" s="23"/>
      <c r="V1230" s="30"/>
      <c r="W1230" s="30"/>
      <c r="X1230" s="30"/>
      <c r="Y1230" s="494"/>
      <c r="Z1230" s="30"/>
      <c r="AA1230" s="30"/>
      <c r="AB1230" s="30"/>
      <c r="AC1230" s="1172" t="b">
        <f>AC1228</f>
        <v>0</v>
      </c>
      <c r="AD1230" s="30"/>
      <c r="AE1230" s="30"/>
      <c r="AF1230" s="58"/>
      <c r="AG1230" s="30"/>
      <c r="AH1230" s="30"/>
      <c r="AI1230" s="30"/>
      <c r="AJ1230" s="504"/>
      <c r="AK1230" s="504"/>
      <c r="AL1230" s="342"/>
      <c r="AM1230" s="30"/>
      <c r="AN1230" s="30"/>
      <c r="AO1230" s="30"/>
      <c r="AP1230" s="30"/>
      <c r="AQ1230" s="30"/>
      <c r="AR1230" s="30"/>
      <c r="AS1230" s="30"/>
      <c r="AT1230" s="1172"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2" t="b">
        <f>OR(BZ1228,AND(NOT(ISBLANK(L1228)),L1228=FALSE))</f>
        <v>1</v>
      </c>
    </row>
    <row r="1231" spans="1:78" s="142" customFormat="1" ht="5.0999999999999996" hidden="1" customHeight="1">
      <c r="A1231" s="808"/>
      <c r="B1231" s="166"/>
      <c r="C1231" s="166"/>
      <c r="D1231" s="166"/>
      <c r="E1231" s="166"/>
      <c r="F1231" s="166"/>
      <c r="G1231" s="166"/>
      <c r="M1231" s="143"/>
      <c r="N1231" s="143"/>
      <c r="O1231" s="733"/>
      <c r="P1231" s="23"/>
      <c r="Q1231" s="23"/>
      <c r="R1231" s="23"/>
      <c r="S1231" s="23"/>
      <c r="T1231" s="23"/>
      <c r="U1231" s="23"/>
      <c r="V1231" s="30"/>
      <c r="W1231" s="30"/>
      <c r="X1231" s="30"/>
      <c r="Y1231" s="494"/>
      <c r="Z1231" s="30"/>
      <c r="AA1231" s="30"/>
      <c r="AB1231" s="30"/>
      <c r="AC1231" s="30"/>
      <c r="AD1231" s="30"/>
      <c r="AE1231" s="30"/>
      <c r="AF1231" s="58"/>
      <c r="AG1231" s="30"/>
      <c r="AH1231" s="30"/>
      <c r="AI1231" s="30"/>
      <c r="AJ1231" s="504"/>
      <c r="AK1231" s="504"/>
      <c r="AL1231" s="342"/>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hidden="1" customHeight="1" thickBot="1">
      <c r="A1232" s="808"/>
      <c r="B1232" s="166"/>
      <c r="C1232" s="166"/>
      <c r="D1232" s="166"/>
      <c r="E1232" s="166"/>
      <c r="F1232" s="506" t="str">
        <f>Translations!$B$333</f>
        <v>Pakopa</v>
      </c>
      <c r="G1232" s="1557" t="str">
        <f>Translations!$B$672</f>
        <v>pakopos aprašas</v>
      </c>
      <c r="H1232" s="1557"/>
      <c r="I1232" s="1555" t="str">
        <f>Translations!$B$158</f>
        <v>Vienetas</v>
      </c>
      <c r="J1232" s="1555"/>
      <c r="K1232" s="1555" t="str">
        <f>Translations!$B$673</f>
        <v>Vertė</v>
      </c>
      <c r="L1232" s="1555"/>
      <c r="M1232" s="507" t="str">
        <f>Translations!$B$610</f>
        <v>klaida</v>
      </c>
      <c r="O1232" s="733"/>
      <c r="P1232" s="508"/>
      <c r="Q1232" s="352" t="str">
        <f>EUconst_SumEnergyIN &amp; "_" &amp; K1223</f>
        <v>SUM_EnergyIN_</v>
      </c>
      <c r="R1232" s="399" t="str">
        <f>IF(OR(K1223="",T1224)=TRUE,"",INDEX(BC1238:BE1238,MATCH(K1223,BC1233:BE1233,0)))</f>
        <v/>
      </c>
      <c r="S1232" s="30"/>
      <c r="T1232" s="489"/>
      <c r="U1232" s="30"/>
      <c r="V1232" s="509" t="s">
        <v>303</v>
      </c>
      <c r="W1232" s="30"/>
      <c r="X1232" s="30"/>
      <c r="Y1232" s="494" t="s">
        <v>566</v>
      </c>
      <c r="Z1232" s="494" t="s">
        <v>318</v>
      </c>
      <c r="AA1232" s="30"/>
      <c r="AB1232" s="30"/>
      <c r="AC1232" s="505" t="s">
        <v>309</v>
      </c>
      <c r="AD1232" s="30"/>
      <c r="AE1232" s="30"/>
      <c r="AF1232" s="492" t="s">
        <v>305</v>
      </c>
      <c r="AG1232" s="492" t="s">
        <v>306</v>
      </c>
      <c r="AH1232" s="494" t="s">
        <v>304</v>
      </c>
      <c r="AI1232" s="504" t="s">
        <v>307</v>
      </c>
      <c r="AJ1232" s="504" t="s">
        <v>567</v>
      </c>
      <c r="AK1232" s="510" t="s">
        <v>311</v>
      </c>
      <c r="AL1232" s="342"/>
      <c r="AM1232" s="30"/>
      <c r="AN1232" s="492" t="s">
        <v>305</v>
      </c>
      <c r="AO1232" s="492" t="s">
        <v>306</v>
      </c>
      <c r="AP1232" s="511" t="s">
        <v>310</v>
      </c>
      <c r="AQ1232" s="504" t="s">
        <v>569</v>
      </c>
      <c r="AR1232" s="504" t="s">
        <v>568</v>
      </c>
      <c r="AS1232" s="510" t="s">
        <v>609</v>
      </c>
      <c r="AT1232" s="510" t="s">
        <v>609</v>
      </c>
      <c r="AU1232" s="30"/>
      <c r="AV1232" s="492"/>
      <c r="AW1232" s="492"/>
      <c r="AX1232" s="492" t="s">
        <v>321</v>
      </c>
      <c r="AY1232" s="492"/>
      <c r="AZ1232" s="492"/>
      <c r="BA1232" s="492"/>
      <c r="BB1232" s="492"/>
      <c r="BC1232" s="492"/>
      <c r="BD1232" s="492"/>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3" t="s">
        <v>262</v>
      </c>
    </row>
    <row r="1233" spans="1:78" s="142" customFormat="1" ht="12.75" hidden="1" customHeight="1" thickBot="1">
      <c r="A1233" s="808"/>
      <c r="B1233" s="166"/>
      <c r="C1233" s="777" t="s">
        <v>196</v>
      </c>
      <c r="D1233" s="512" t="str">
        <f>Translations!$B$622</f>
        <v>VD:</v>
      </c>
      <c r="E1233" s="513"/>
      <c r="F1233" s="402"/>
      <c r="G1233" s="1532" t="str">
        <f>IF(OR(ISBLANK(F1233),F1233=EUconst_NoTier),"",IF(Z1233=0,EUconst_NA,IF(ISERROR(Z1233),"",Z1233)))</f>
        <v/>
      </c>
      <c r="H1233" s="1533"/>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0"/>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0"/>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0"/>
      <c r="AV1233" s="492" t="s">
        <v>314</v>
      </c>
      <c r="AW1233" s="492" t="s">
        <v>319</v>
      </c>
      <c r="AX1233" s="524"/>
      <c r="AY1233" s="30" t="s">
        <v>542</v>
      </c>
      <c r="AZ1233" s="30"/>
      <c r="BA1233" s="30"/>
      <c r="BB1233" s="504"/>
      <c r="BC1233" s="493" t="str">
        <f>EUconst_Fuel</f>
        <v>Degimas</v>
      </c>
      <c r="BD1233" s="493" t="str">
        <f>EUconst_ProcessCarbonate</f>
        <v>Proceso metu išsiskiriančios ŠESD</v>
      </c>
      <c r="BE1233" s="493"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4" t="b">
        <f>BZ1228</f>
        <v>1</v>
      </c>
    </row>
    <row r="1234" spans="1:78" s="142" customFormat="1" ht="5.0999999999999996" hidden="1" customHeight="1">
      <c r="A1234" s="808"/>
      <c r="B1234" s="166"/>
      <c r="C1234" s="814"/>
      <c r="D1234" s="306"/>
      <c r="F1234" s="143"/>
      <c r="G1234" s="143"/>
      <c r="H1234" s="143" t="s">
        <v>236</v>
      </c>
      <c r="I1234" s="525"/>
      <c r="J1234" s="525"/>
      <c r="K1234" s="143"/>
      <c r="L1234" s="143"/>
      <c r="M1234" s="710"/>
      <c r="O1234" s="733"/>
      <c r="P1234" s="33"/>
      <c r="Q1234" s="33"/>
      <c r="R1234" s="33"/>
      <c r="S1234" s="30"/>
      <c r="T1234" s="155"/>
      <c r="U1234" s="497"/>
      <c r="V1234" s="30"/>
      <c r="W1234" s="30"/>
      <c r="X1234" s="497"/>
      <c r="Y1234" s="526"/>
      <c r="Z1234" s="30"/>
      <c r="AA1234" s="30"/>
      <c r="AB1234" s="30"/>
      <c r="AC1234" s="30"/>
      <c r="AD1234" s="30"/>
      <c r="AE1234" s="30"/>
      <c r="AF1234" s="30"/>
      <c r="AG1234" s="30"/>
      <c r="AH1234" s="30"/>
      <c r="AI1234" s="30"/>
      <c r="AJ1234" s="30"/>
      <c r="AK1234" s="30"/>
      <c r="AL1234" s="342"/>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3"/>
    </row>
    <row r="1235" spans="1:78" s="142" customFormat="1" ht="12.75" hidden="1" customHeight="1" thickBot="1">
      <c r="A1235" s="808"/>
      <c r="B1235" s="166"/>
      <c r="C1235" s="814" t="s">
        <v>197</v>
      </c>
      <c r="D1235" s="512" t="str">
        <f>Translations!$B$634</f>
        <v>(prelim.) ITF:</v>
      </c>
      <c r="E1235" s="513"/>
      <c r="F1235" s="527"/>
      <c r="G1235" s="1532" t="str">
        <f t="shared" ref="G1235:G1241" si="301">IF(OR(ISBLANK(F1235),F1235=EUconst_NoTier),"",IF(Z1235=0,EUconst_NotApplicable,IF(ISERROR(Z1235),"",Z1235)))</f>
        <v/>
      </c>
      <c r="H1235" s="1556"/>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3"/>
      <c r="Q1235" s="33"/>
      <c r="R1235" s="33"/>
      <c r="S1235" s="30"/>
      <c r="T1235" s="530" t="str">
        <f>EUconst_CNTR_EF&amp;E1224</f>
        <v>EF_</v>
      </c>
      <c r="U1235" s="497"/>
      <c r="V1235" s="531" t="str">
        <f>V1233</f>
        <v/>
      </c>
      <c r="W1235" s="30"/>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0"/>
      <c r="AC1235" s="535" t="b">
        <f>AND(AC1233,Y1235&lt;&gt;EUconst_NA)</f>
        <v>0</v>
      </c>
      <c r="AD1235" s="30"/>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0"/>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0"/>
      <c r="BA1235" s="30"/>
      <c r="BB1235" s="547" t="s">
        <v>594</v>
      </c>
      <c r="BC1235" s="546" t="str">
        <f>IF(K1223=BC1233,AR1233*IF(AJ1235=EUconst_tCO2pTJ,(AR1236/1000),1)*AR1235*AR1237*AR1241,"")</f>
        <v/>
      </c>
      <c r="BD1235" s="524" t="str">
        <f>IF(K1223=BD1233,AR1233*AR1235*AR1238*AR1241,"")</f>
        <v/>
      </c>
      <c r="BE1235" s="523"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1" t="b">
        <f>OR(BZ1233,Y1235=EUconst_NA)</f>
        <v>1</v>
      </c>
    </row>
    <row r="1236" spans="1:78" s="142" customFormat="1" ht="12.75" hidden="1" customHeight="1" thickBot="1">
      <c r="A1236" s="808"/>
      <c r="B1236" s="166"/>
      <c r="C1236" s="814" t="s">
        <v>198</v>
      </c>
      <c r="D1236" s="512" t="str">
        <f>Translations!$B$636</f>
        <v>GŠV:</v>
      </c>
      <c r="E1236" s="513"/>
      <c r="F1236" s="548"/>
      <c r="G1236" s="1532" t="str">
        <f t="shared" si="301"/>
        <v/>
      </c>
      <c r="H1236" s="1533"/>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3"/>
      <c r="Q1236" s="33"/>
      <c r="R1236" s="33"/>
      <c r="S1236" s="30"/>
      <c r="T1236" s="552" t="str">
        <f>EUconst_CNTR_NCV&amp;E1224</f>
        <v>NCV_</v>
      </c>
      <c r="U1236" s="497"/>
      <c r="V1236" s="553" t="str">
        <f t="shared" ref="V1236:V1241" si="307">V1235</f>
        <v/>
      </c>
      <c r="W1236" s="30"/>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0"/>
      <c r="AC1236" s="557" t="b">
        <f>AND(AC1233,Y1236&lt;&gt;EUconst_NA)</f>
        <v>0</v>
      </c>
      <c r="AD1236" s="30"/>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0"/>
      <c r="AV1236" s="567" t="b">
        <f t="shared" si="304"/>
        <v>0</v>
      </c>
      <c r="AW1236" s="568" t="b">
        <f t="shared" si="305"/>
        <v>0</v>
      </c>
      <c r="AX1236" s="30"/>
      <c r="AY1236" s="553" t="b">
        <f t="shared" si="306"/>
        <v>0</v>
      </c>
      <c r="AZ1236" s="30"/>
      <c r="BA1236" s="30"/>
      <c r="BB1236" s="547" t="s">
        <v>595</v>
      </c>
      <c r="BC1236" s="546" t="str">
        <f>IF(K1223=BC1233,AR1233*IF(AJ1235=EUconst_tCO2pTJ,(AR1236/1000),1)*AR1235*AR1237*AR1240,"")</f>
        <v/>
      </c>
      <c r="BD1236" s="524" t="str">
        <f>IF(K1223=BD1233,AR1233*AR1235*AR1238*AR1240,"")</f>
        <v/>
      </c>
      <c r="BE1236" s="523"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3" t="b">
        <f>OR(BZ1233,Y1236=EUconst_NA)</f>
        <v>1</v>
      </c>
    </row>
    <row r="1237" spans="1:78" s="142" customFormat="1" ht="12.75" hidden="1" customHeight="1" thickBot="1">
      <c r="A1237" s="808"/>
      <c r="B1237" s="166"/>
      <c r="C1237" s="814" t="s">
        <v>199</v>
      </c>
      <c r="D1237" s="512" t="str">
        <f>Translations!$B$638</f>
        <v>OksK:</v>
      </c>
      <c r="E1237" s="513"/>
      <c r="F1237" s="548"/>
      <c r="G1237" s="1532" t="str">
        <f t="shared" si="301"/>
        <v/>
      </c>
      <c r="H1237" s="1533"/>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3"/>
      <c r="Q1237" s="33"/>
      <c r="R1237" s="33"/>
      <c r="S1237" s="30"/>
      <c r="T1237" s="552" t="str">
        <f>EUconst_CNTR_OxidationFactor&amp;E1224</f>
        <v>OxF_</v>
      </c>
      <c r="U1237" s="497"/>
      <c r="V1237" s="553" t="str">
        <f t="shared" si="307"/>
        <v/>
      </c>
      <c r="W1237" s="30"/>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0"/>
      <c r="AC1237" s="557" t="b">
        <f>AND(AC1233,Y1237&lt;&gt;EUconst_NA)</f>
        <v>0</v>
      </c>
      <c r="AD1237" s="30"/>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0"/>
      <c r="AV1237" s="567" t="b">
        <f t="shared" si="304"/>
        <v>0</v>
      </c>
      <c r="AW1237" s="568" t="b">
        <f t="shared" si="305"/>
        <v>0</v>
      </c>
      <c r="AX1237" s="30"/>
      <c r="AY1237" s="594" t="b">
        <f t="shared" si="306"/>
        <v>0</v>
      </c>
      <c r="AZ1237" s="531" t="b">
        <f>AR1237&gt;100%</f>
        <v>0</v>
      </c>
      <c r="BA1237" s="30"/>
      <c r="BB1237" s="547" t="s">
        <v>290</v>
      </c>
      <c r="BC1237" s="546" t="str">
        <f>IF(K1223=BC1233,AR1233*IF(AJ1235=EUconst_tCO2pTJ,(AR1236/1000),1)*AR1235*AR1237*(1-AR1240),"")</f>
        <v/>
      </c>
      <c r="BD1237" s="524" t="str">
        <f>IF(K1223=BD1233,AR1233*AR1235*AR1238*(1-AR1240),"")</f>
        <v/>
      </c>
      <c r="BE1237" s="523"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3" t="b">
        <f>OR(BZ1233,Y1237=EUconst_NA)</f>
        <v>1</v>
      </c>
    </row>
    <row r="1238" spans="1:78" s="142" customFormat="1" ht="12.75" hidden="1" customHeight="1" thickBot="1">
      <c r="A1238" s="808"/>
      <c r="B1238" s="166"/>
      <c r="C1238" s="814" t="s">
        <v>200</v>
      </c>
      <c r="D1238" s="512" t="str">
        <f>Translations!$B$639</f>
        <v>KonvK:</v>
      </c>
      <c r="E1238" s="513"/>
      <c r="F1238" s="548"/>
      <c r="G1238" s="1532" t="str">
        <f t="shared" si="301"/>
        <v/>
      </c>
      <c r="H1238" s="1533"/>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3"/>
      <c r="Q1238" s="33"/>
      <c r="R1238" s="33"/>
      <c r="S1238" s="30"/>
      <c r="T1238" s="552" t="str">
        <f>EUconst_CNTR_ConversionFactor&amp;E1224</f>
        <v>ConvF_</v>
      </c>
      <c r="U1238" s="497"/>
      <c r="V1238" s="553" t="str">
        <f t="shared" si="307"/>
        <v/>
      </c>
      <c r="W1238" s="30"/>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0"/>
      <c r="AC1238" s="557" t="b">
        <f>AND(AC1233,Y1238&lt;&gt;EUconst_NA)</f>
        <v>0</v>
      </c>
      <c r="AD1238" s="30"/>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0"/>
      <c r="AV1238" s="567" t="b">
        <f t="shared" si="304"/>
        <v>0</v>
      </c>
      <c r="AW1238" s="568" t="b">
        <f t="shared" si="305"/>
        <v>0</v>
      </c>
      <c r="AX1238" s="30"/>
      <c r="AY1238" s="594" t="b">
        <f t="shared" si="306"/>
        <v>0</v>
      </c>
      <c r="AZ1238" s="580" t="b">
        <f>AR1238&gt;100%</f>
        <v>0</v>
      </c>
      <c r="BA1238" s="30"/>
      <c r="BB1238" s="578" t="s">
        <v>487</v>
      </c>
      <c r="BC1238" s="579">
        <f>AR1233*AR1236/1000*(1-AR1240)</f>
        <v>0</v>
      </c>
      <c r="BD1238" s="580">
        <f>BC1238</f>
        <v>0</v>
      </c>
      <c r="BE1238" s="581">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3" t="b">
        <f>OR(BZ1233,Y1238=EUconst_NA)</f>
        <v>1</v>
      </c>
    </row>
    <row r="1239" spans="1:78" s="142" customFormat="1" ht="12.75" hidden="1" customHeight="1" thickBot="1">
      <c r="A1239" s="808"/>
      <c r="B1239" s="166"/>
      <c r="C1239" s="814" t="s">
        <v>329</v>
      </c>
      <c r="D1239" s="512" t="str">
        <f>Translations!$B$640</f>
        <v>AnglK:</v>
      </c>
      <c r="E1239" s="513"/>
      <c r="F1239" s="548"/>
      <c r="G1239" s="1532" t="str">
        <f t="shared" si="301"/>
        <v/>
      </c>
      <c r="H1239" s="1533"/>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3"/>
      <c r="Q1239" s="33"/>
      <c r="R1239" s="33"/>
      <c r="S1239" s="30"/>
      <c r="T1239" s="552" t="str">
        <f>EUconst_CNTR_CarbonContent&amp;E1224</f>
        <v>CarbC_</v>
      </c>
      <c r="U1239" s="497"/>
      <c r="V1239" s="553" t="str">
        <f t="shared" si="307"/>
        <v/>
      </c>
      <c r="W1239" s="30"/>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0"/>
      <c r="AC1239" s="557" t="b">
        <f>AND(AC1233,Y1239&lt;&gt;EUconst_NA)</f>
        <v>0</v>
      </c>
      <c r="AD1239" s="30"/>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0"/>
      <c r="AV1239" s="567" t="b">
        <f t="shared" si="304"/>
        <v>0</v>
      </c>
      <c r="AW1239" s="568" t="b">
        <f t="shared" si="305"/>
        <v>0</v>
      </c>
      <c r="AX1239" s="546" t="b">
        <f>OR(AND(AJ1233=EUconst_kNm3,AJ1239=EUconst_tCpt),AND(AJ1233=EUconst_t,AJ1239=EUconst_tCpkNm3))</f>
        <v>0</v>
      </c>
      <c r="AY1239" s="553" t="b">
        <f t="shared" si="306"/>
        <v>0</v>
      </c>
      <c r="AZ1239" s="30"/>
      <c r="BA1239" s="30"/>
      <c r="BB1239" s="578" t="s">
        <v>488</v>
      </c>
      <c r="BC1239" s="579">
        <f>AR1233*AR1236/1000*AR1240</f>
        <v>0</v>
      </c>
      <c r="BD1239" s="580">
        <f>BC1239</f>
        <v>0</v>
      </c>
      <c r="BE1239" s="581">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3" t="b">
        <f>OR(BZ1233,Y1239=EUconst_NA)</f>
        <v>1</v>
      </c>
    </row>
    <row r="1240" spans="1:78" s="142" customFormat="1" ht="12.75" hidden="1" customHeight="1">
      <c r="A1240" s="808"/>
      <c r="B1240" s="166"/>
      <c r="C1240" s="777" t="s">
        <v>330</v>
      </c>
      <c r="D1240" s="512" t="str">
        <f>Translations!$B$641</f>
        <v>BioC:</v>
      </c>
      <c r="E1240" s="513"/>
      <c r="F1240" s="548"/>
      <c r="G1240" s="1532" t="str">
        <f t="shared" si="301"/>
        <v/>
      </c>
      <c r="H1240" s="1533"/>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0"/>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0"/>
      <c r="AC1240" s="557" t="b">
        <f>AND(AC1233,Y1240&lt;&gt;EUconst_NA)</f>
        <v>0</v>
      </c>
      <c r="AD1240" s="30"/>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0"/>
      <c r="AV1240" s="567" t="b">
        <f t="shared" si="304"/>
        <v>0</v>
      </c>
      <c r="AW1240" s="568" t="b">
        <f t="shared" si="305"/>
        <v>0</v>
      </c>
      <c r="AX1240" s="30"/>
      <c r="AY1240" s="594" t="b">
        <f t="shared" si="306"/>
        <v>0</v>
      </c>
      <c r="AZ1240" s="531"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3" t="b">
        <f>OR(BZ1233,Y1240=EUconst_NA)</f>
        <v>1</v>
      </c>
    </row>
    <row r="1241" spans="1:78" s="142" customFormat="1" ht="12.75" hidden="1" customHeight="1" thickBot="1">
      <c r="A1241" s="808"/>
      <c r="B1241" s="166"/>
      <c r="C1241" s="777" t="s">
        <v>454</v>
      </c>
      <c r="D1241" s="512" t="str">
        <f>Translations!$B$647</f>
        <v>Netvar. BioC:</v>
      </c>
      <c r="E1241" s="513"/>
      <c r="F1241" s="597"/>
      <c r="G1241" s="1532" t="str">
        <f t="shared" si="301"/>
        <v/>
      </c>
      <c r="H1241" s="1533"/>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0"/>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0"/>
      <c r="AC1241" s="603" t="b">
        <f>AND(AC1233,Y1241&lt;&gt;EUconst_NA)</f>
        <v>0</v>
      </c>
      <c r="AD1241" s="30"/>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0"/>
      <c r="AV1241" s="613" t="b">
        <f t="shared" si="304"/>
        <v>0</v>
      </c>
      <c r="AW1241" s="614" t="b">
        <f t="shared" si="305"/>
        <v>0</v>
      </c>
      <c r="AX1241" s="30"/>
      <c r="AY1241" s="579" t="b">
        <f t="shared" si="306"/>
        <v>0</v>
      </c>
      <c r="AZ1241" s="580"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80" t="b">
        <f>OR(BZ1233,Y1241=EUconst_NA)</f>
        <v>1</v>
      </c>
    </row>
    <row r="1242" spans="1:78" s="142" customFormat="1" ht="5.0999999999999996" hidden="1" customHeight="1">
      <c r="A1242" s="808"/>
      <c r="B1242" s="166"/>
      <c r="C1242" s="166"/>
      <c r="D1242" s="180"/>
      <c r="O1242" s="733"/>
      <c r="P1242" s="33"/>
      <c r="Q1242" s="33"/>
      <c r="R1242" s="33"/>
      <c r="S1242" s="174"/>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hidden="1" customHeight="1">
      <c r="A1243" s="808"/>
      <c r="B1243" s="166"/>
      <c r="C1243" s="166"/>
      <c r="D1243" s="1558" t="str">
        <f>Translations!$B$674</f>
        <v>Pakopos galioja nuo:</v>
      </c>
      <c r="E1243" s="1558"/>
      <c r="F1243" s="1559"/>
      <c r="G1243" s="1052"/>
      <c r="H1243" s="615" t="str">
        <f>Translations!$B$675</f>
        <v>iki:</v>
      </c>
      <c r="I1243" s="1052"/>
      <c r="J1243" s="1536" t="str">
        <f>Translations!$B$676</f>
        <v>Atliekų katalogo numeris (jeigu taikytina):</v>
      </c>
      <c r="K1243" s="1537"/>
      <c r="L1243" s="1537"/>
      <c r="M1243" s="1538"/>
      <c r="N1243" s="1289"/>
      <c r="O1243" s="733"/>
      <c r="P1243" s="33"/>
      <c r="Q1243" s="33"/>
      <c r="R1243" s="33"/>
      <c r="S1243" s="1290"/>
      <c r="T1243" s="492"/>
      <c r="U1243" s="492"/>
      <c r="V1243" s="48" t="b">
        <f>IF(V1233="",FALSE,INDEX(CNTR_IsWaste,MATCH(V1233,MSParameters!$A$218:$A$376,0)))</f>
        <v>0</v>
      </c>
      <c r="W1243" s="1290"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4.5" hidden="1" customHeight="1">
      <c r="A1244" s="808"/>
      <c r="B1244" s="166"/>
      <c r="C1244" s="166"/>
      <c r="D1244" s="615"/>
      <c r="E1244" s="495"/>
      <c r="F1244" s="495"/>
      <c r="G1244" s="495"/>
      <c r="H1244" s="495"/>
      <c r="I1244" s="495"/>
      <c r="J1244" s="495"/>
      <c r="K1244" s="495"/>
      <c r="L1244" s="495"/>
      <c r="M1244" s="495"/>
      <c r="N1244" s="495"/>
      <c r="O1244" s="733"/>
      <c r="P1244" s="33"/>
      <c r="Q1244" s="33"/>
      <c r="R1244" s="33"/>
      <c r="S1244" s="174"/>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hidden="1" customHeight="1">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3"/>
      <c r="Q1245" s="33"/>
      <c r="R1245" s="33"/>
      <c r="S1245" s="174"/>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4.5" hidden="1" customHeight="1">
      <c r="A1246" s="815"/>
      <c r="D1246" s="180"/>
      <c r="O1246" s="573"/>
      <c r="P1246" s="497"/>
      <c r="Q1246" s="497"/>
      <c r="R1246" s="497"/>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ht="2.25" hidden="1" customHeight="1">
      <c r="A1247" s="815"/>
      <c r="D1247" s="1534" t="str">
        <f>Translations!$B$160</f>
        <v>Pastabos:</v>
      </c>
      <c r="E1247" s="1535"/>
      <c r="F1247" s="1539"/>
      <c r="G1247" s="1540"/>
      <c r="H1247" s="1540"/>
      <c r="I1247" s="1540"/>
      <c r="J1247" s="1540"/>
      <c r="K1247" s="1540"/>
      <c r="L1247" s="1540"/>
      <c r="M1247" s="1540"/>
      <c r="N1247" s="1541"/>
      <c r="O1247" s="573"/>
      <c r="P1247" s="497"/>
      <c r="Q1247" s="497"/>
      <c r="R1247" s="497"/>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c r="A1248" s="808"/>
      <c r="B1248" s="495"/>
      <c r="C1248" s="499"/>
      <c r="D1248" s="500"/>
      <c r="E1248" s="501"/>
      <c r="F1248" s="499"/>
      <c r="G1248" s="502"/>
      <c r="H1248" s="502"/>
      <c r="I1248" s="502"/>
      <c r="J1248" s="502"/>
      <c r="K1248" s="502"/>
      <c r="L1248" s="502"/>
      <c r="M1248" s="502"/>
      <c r="N1248" s="502"/>
      <c r="O1248" s="740"/>
      <c r="P1248" s="494"/>
      <c r="Q1248" s="494"/>
      <c r="R1248" s="494"/>
      <c r="S1248" s="58"/>
      <c r="T1248" s="58"/>
      <c r="U1248" s="498"/>
      <c r="V1248" s="58"/>
      <c r="W1248" s="58"/>
      <c r="X1248" s="498"/>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c r="A1249" s="813"/>
      <c r="B1249" s="495"/>
      <c r="C1249" s="495"/>
      <c r="D1249" s="180"/>
      <c r="E1249" s="496"/>
      <c r="F1249" s="495"/>
      <c r="G1249" s="487"/>
      <c r="H1249" s="487"/>
      <c r="I1249" s="487"/>
      <c r="J1249" s="487"/>
      <c r="K1249" s="495"/>
      <c r="L1249" s="487"/>
      <c r="M1249" s="487"/>
      <c r="N1249" s="487"/>
      <c r="O1249" s="740"/>
      <c r="P1249" s="494"/>
      <c r="Q1249" s="494"/>
      <c r="R1249" s="494"/>
      <c r="S1249" s="23"/>
      <c r="T1249" s="27" t="str">
        <f>IF(ISBLANK(E1250),"",MATCH(E1250,CNTR_SourceStreamNames,0))</f>
        <v/>
      </c>
      <c r="U1249" s="618"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1"/>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3" t="s">
        <v>262</v>
      </c>
    </row>
    <row r="1250" spans="1:78" s="142" customFormat="1" ht="15" hidden="1" customHeight="1" thickBot="1">
      <c r="A1250" s="869" t="str">
        <f>IF(E1250="","","PRINT")</f>
        <v/>
      </c>
      <c r="B1250" s="166"/>
      <c r="C1250" s="617">
        <f>C1223+1</f>
        <v>45</v>
      </c>
      <c r="D1250" s="166"/>
      <c r="E1250" s="1542"/>
      <c r="F1250" s="1543"/>
      <c r="G1250" s="1543"/>
      <c r="H1250" s="1543"/>
      <c r="I1250" s="1543"/>
      <c r="J1250" s="1544"/>
      <c r="K1250" s="1545" t="str">
        <f>IF(E1251="","",INDEX(EUwideConstants!$F$353:$F$394,MATCH(E1251,EUConst_TierActivityListNames,0)))</f>
        <v/>
      </c>
      <c r="L1250" s="1546"/>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3"/>
      <c r="T1250" s="509" t="s">
        <v>393</v>
      </c>
      <c r="U1250" s="23"/>
      <c r="V1250" s="78"/>
      <c r="W1250" s="56"/>
      <c r="X1250" s="58"/>
      <c r="Y1250" s="58"/>
      <c r="Z1250" s="58"/>
      <c r="AA1250" s="58"/>
      <c r="AB1250" s="58"/>
      <c r="AC1250" s="58"/>
      <c r="AD1250" s="58"/>
      <c r="AE1250" s="58"/>
      <c r="AF1250" s="58"/>
      <c r="AG1250" s="58"/>
      <c r="AH1250" s="58"/>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6"/>
      <c r="BZ1250" s="619" t="b">
        <f>CNTR_CalcRelevant=EUconst_NotRelevant</f>
        <v>0</v>
      </c>
    </row>
    <row r="1251" spans="1:78" s="142" customFormat="1" ht="15" hidden="1" customHeight="1" thickBot="1">
      <c r="A1251" s="808"/>
      <c r="B1251" s="166"/>
      <c r="C1251" s="166"/>
      <c r="D1251" s="166"/>
      <c r="E1251" s="1547" t="str">
        <f>IF(ISBLANK(E1250),"",IF(INDEX(B_InstallationDescription!$E$71:$E$145,MATCH(U1249,B_InstallationDescription!$D$71:$D$145,0))&gt;0,INDEX(B_InstallationDescription!$E$71:$E$145,MATCH(U1249,B_InstallationDescription!$D$71:$D$145,0)),""))</f>
        <v/>
      </c>
      <c r="F1251" s="1548"/>
      <c r="G1251" s="1548"/>
      <c r="H1251" s="1548"/>
      <c r="I1251" s="1548"/>
      <c r="J1251" s="1549"/>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4"/>
      <c r="AH1251" s="30"/>
      <c r="AI1251" s="30"/>
      <c r="AJ1251" s="504"/>
      <c r="AK1251" s="504"/>
      <c r="AL1251" s="342"/>
      <c r="AM1251" s="27" t="s">
        <v>308</v>
      </c>
      <c r="AN1251" s="505"/>
      <c r="AO1251" s="505"/>
      <c r="AP1251" s="30"/>
      <c r="AQ1251" s="30"/>
      <c r="AR1251" s="30"/>
      <c r="AS1251" s="30"/>
      <c r="AT1251" s="30"/>
      <c r="AU1251" s="30"/>
      <c r="AV1251" s="27" t="s">
        <v>315</v>
      </c>
      <c r="AW1251" s="30"/>
      <c r="AX1251" s="492"/>
      <c r="AY1251" s="30"/>
      <c r="AZ1251" s="30"/>
      <c r="BA1251" s="30"/>
      <c r="BB1251" s="27" t="s">
        <v>219</v>
      </c>
      <c r="BC1251" s="30"/>
      <c r="BD1251" s="30"/>
      <c r="BE1251" s="30"/>
      <c r="BF1251" s="30"/>
      <c r="BG1251" s="27"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0"/>
      <c r="BZ1251" s="30"/>
    </row>
    <row r="1252" spans="1:78" s="142" customFormat="1" ht="5.0999999999999996" hidden="1" customHeight="1" thickBot="1">
      <c r="A1252" s="808"/>
      <c r="B1252" s="166"/>
      <c r="C1252" s="166"/>
      <c r="D1252" s="166"/>
      <c r="E1252" s="166"/>
      <c r="F1252" s="166"/>
      <c r="G1252" s="166"/>
      <c r="M1252" s="143"/>
      <c r="N1252" s="143"/>
      <c r="O1252" s="733"/>
      <c r="P1252" s="33"/>
      <c r="Q1252" s="33"/>
      <c r="R1252" s="33"/>
      <c r="S1252" s="23"/>
      <c r="T1252" s="23"/>
      <c r="U1252" s="23"/>
      <c r="V1252" s="78"/>
      <c r="W1252" s="30"/>
      <c r="X1252" s="30"/>
      <c r="Y1252" s="494"/>
      <c r="Z1252" s="30"/>
      <c r="AA1252" s="30"/>
      <c r="AB1252" s="30"/>
      <c r="AC1252" s="30"/>
      <c r="AD1252" s="30"/>
      <c r="AE1252" s="30"/>
      <c r="AF1252" s="58"/>
      <c r="AG1252" s="30"/>
      <c r="AH1252" s="30"/>
      <c r="AI1252" s="30"/>
      <c r="AJ1252" s="504"/>
      <c r="AK1252" s="504"/>
      <c r="AL1252" s="342"/>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hidden="1" customHeight="1" thickBot="1">
      <c r="A1253" s="808"/>
      <c r="B1253" s="166"/>
      <c r="C1253" s="166"/>
      <c r="D1253" s="166"/>
      <c r="E1253" s="1550" t="str">
        <f>IF(E1250="","",IF(T1251=TRUE,HYPERLINK("#JUMP_14",EUconst_MsgGoOnPFC),HYPERLINK("#JUMP_E_8",EUconst_FurtherGuidancePoint1)))</f>
        <v/>
      </c>
      <c r="F1253" s="1550"/>
      <c r="G1253" s="1550"/>
      <c r="H1253" s="1550"/>
      <c r="I1253" s="1550"/>
      <c r="J1253" s="1550"/>
      <c r="K1253" s="1550"/>
      <c r="L1253" s="1550"/>
      <c r="M1253" s="1550"/>
      <c r="N1253" s="143"/>
      <c r="O1253" s="733"/>
      <c r="P1253" s="33"/>
      <c r="Q1253" s="352" t="str">
        <f>EUconst_SumNonSustBioCO2 &amp; "_" &amp; K1250</f>
        <v>SUM_bioNonSustCO2_</v>
      </c>
      <c r="R1253" s="707"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4"/>
      <c r="AK1253" s="504"/>
      <c r="AL1253" s="342"/>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hidden="1" customHeight="1" thickBot="1">
      <c r="A1254" s="808"/>
      <c r="B1254" s="166"/>
      <c r="C1254" s="166"/>
      <c r="D1254" s="166"/>
      <c r="E1254" s="166"/>
      <c r="F1254" s="166"/>
      <c r="G1254" s="166"/>
      <c r="M1254" s="143"/>
      <c r="N1254" s="143"/>
      <c r="O1254" s="733"/>
      <c r="P1254" s="23"/>
      <c r="Q1254" s="23"/>
      <c r="R1254" s="23"/>
      <c r="S1254" s="23"/>
      <c r="T1254" s="23"/>
      <c r="U1254" s="23"/>
      <c r="V1254" s="30"/>
      <c r="W1254" s="30"/>
      <c r="X1254" s="30"/>
      <c r="Y1254" s="494"/>
      <c r="Z1254" s="30"/>
      <c r="AA1254" s="30"/>
      <c r="AB1254" s="30"/>
      <c r="AC1254" s="30"/>
      <c r="AD1254" s="30"/>
      <c r="AE1254" s="30"/>
      <c r="AF1254" s="58"/>
      <c r="AG1254" s="30"/>
      <c r="AH1254" s="30"/>
      <c r="AI1254" s="30"/>
      <c r="AJ1254" s="504"/>
      <c r="AK1254" s="504"/>
      <c r="AL1254" s="342"/>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hidden="1" customHeight="1" thickBot="1">
      <c r="A1255" s="808"/>
      <c r="B1255" s="166"/>
      <c r="C1255" s="814" t="s">
        <v>4</v>
      </c>
      <c r="D1255" s="512" t="str">
        <f>Translations!$B$622</f>
        <v>VD:</v>
      </c>
      <c r="E1255" s="1560" t="str">
        <f>Translations!$B$667</f>
        <v>Ar veiklos duomenys gaunami sudedant išmatuotus kiekius (t. y. ne atliekant nuolatinius matavimus)?</v>
      </c>
      <c r="F1255" s="1560"/>
      <c r="G1255" s="1560"/>
      <c r="H1255" s="1560"/>
      <c r="I1255" s="1560"/>
      <c r="J1255" s="1560"/>
      <c r="K1255" s="1560"/>
      <c r="L1255" s="1179"/>
      <c r="M1255" s="507"/>
      <c r="O1255" s="733"/>
      <c r="P1255" s="23"/>
      <c r="Q1255" s="23"/>
      <c r="R1255" s="23"/>
      <c r="S1255" s="23"/>
      <c r="T1255" s="23"/>
      <c r="U1255" s="23"/>
      <c r="V1255" s="30"/>
      <c r="W1255" s="30"/>
      <c r="X1255" s="30"/>
      <c r="Y1255" s="494"/>
      <c r="Z1255" s="30"/>
      <c r="AA1255" s="30"/>
      <c r="AB1255" s="30"/>
      <c r="AC1255" s="1172" t="b">
        <f>AND(E1250&lt;&gt;"",T1251&lt;&gt;TRUE)</f>
        <v>0</v>
      </c>
      <c r="AD1255" s="30"/>
      <c r="AE1255" s="30"/>
      <c r="AF1255" s="58"/>
      <c r="AG1255" s="30"/>
      <c r="AH1255" s="30"/>
      <c r="AI1255" s="30"/>
      <c r="AJ1255" s="504"/>
      <c r="AK1255" s="504"/>
      <c r="AL1255" s="342"/>
      <c r="AM1255" s="30"/>
      <c r="AN1255" s="30"/>
      <c r="AO1255" s="30"/>
      <c r="AP1255" s="30"/>
      <c r="AQ1255" s="30"/>
      <c r="AR1255" s="30"/>
      <c r="AS1255" s="30"/>
      <c r="AT1255" s="1172"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2" t="b">
        <f>OR(CNTR_CalcRelevant=EUconst_NotRelevant,AND(COUNTA(CNTR_ListRelevantSections)&gt;0,OR(T1251=TRUE,E1250="")))</f>
        <v>1</v>
      </c>
    </row>
    <row r="1256" spans="1:78" s="142" customFormat="1" ht="5.0999999999999996" hidden="1" customHeight="1" thickBot="1">
      <c r="A1256" s="808"/>
      <c r="B1256" s="166"/>
      <c r="C1256" s="166"/>
      <c r="D1256" s="166"/>
      <c r="E1256" s="166"/>
      <c r="F1256" s="166"/>
      <c r="G1256" s="166"/>
      <c r="H1256" s="495"/>
      <c r="I1256" s="495"/>
      <c r="J1256" s="495"/>
      <c r="K1256" s="495"/>
      <c r="L1256" s="495"/>
      <c r="M1256" s="507"/>
      <c r="O1256" s="733"/>
      <c r="P1256" s="23"/>
      <c r="Q1256" s="23"/>
      <c r="R1256" s="23"/>
      <c r="S1256" s="23"/>
      <c r="T1256" s="23"/>
      <c r="U1256" s="23"/>
      <c r="V1256" s="30"/>
      <c r="W1256" s="30"/>
      <c r="X1256" s="30"/>
      <c r="Y1256" s="494"/>
      <c r="Z1256" s="30"/>
      <c r="AA1256" s="30"/>
      <c r="AB1256" s="30"/>
      <c r="AC1256" s="492"/>
      <c r="AD1256" s="30"/>
      <c r="AE1256" s="30"/>
      <c r="AF1256" s="58"/>
      <c r="AG1256" s="30"/>
      <c r="AH1256" s="30"/>
      <c r="AI1256" s="30"/>
      <c r="AJ1256" s="504"/>
      <c r="AK1256" s="504"/>
      <c r="AL1256" s="342"/>
      <c r="AM1256" s="30"/>
      <c r="AN1256" s="30"/>
      <c r="AO1256" s="30"/>
      <c r="AP1256" s="30"/>
      <c r="AQ1256" s="30"/>
      <c r="AR1256" s="30"/>
      <c r="AS1256" s="30"/>
      <c r="AT1256" s="492"/>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2"/>
    </row>
    <row r="1257" spans="1:78" s="142" customFormat="1" ht="12.75" hidden="1" customHeight="1" thickBot="1">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3"/>
      <c r="Q1257" s="23"/>
      <c r="R1257" s="23"/>
      <c r="S1257" s="23"/>
      <c r="T1257" s="23"/>
      <c r="U1257" s="23"/>
      <c r="V1257" s="30"/>
      <c r="W1257" s="30"/>
      <c r="X1257" s="30"/>
      <c r="Y1257" s="494"/>
      <c r="Z1257" s="30"/>
      <c r="AA1257" s="30"/>
      <c r="AB1257" s="30"/>
      <c r="AC1257" s="1172" t="b">
        <f>AC1255</f>
        <v>0</v>
      </c>
      <c r="AD1257" s="30"/>
      <c r="AE1257" s="30"/>
      <c r="AF1257" s="58"/>
      <c r="AG1257" s="30"/>
      <c r="AH1257" s="30"/>
      <c r="AI1257" s="30"/>
      <c r="AJ1257" s="504"/>
      <c r="AK1257" s="504"/>
      <c r="AL1257" s="342"/>
      <c r="AM1257" s="30"/>
      <c r="AN1257" s="30"/>
      <c r="AO1257" s="30"/>
      <c r="AP1257" s="30"/>
      <c r="AQ1257" s="30"/>
      <c r="AR1257" s="30"/>
      <c r="AS1257" s="30"/>
      <c r="AT1257" s="1172"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2" t="b">
        <f>OR(BZ1255,AND(NOT(ISBLANK(L1255)),L1255=FALSE))</f>
        <v>1</v>
      </c>
    </row>
    <row r="1258" spans="1:78" s="142" customFormat="1" ht="5.0999999999999996" hidden="1" customHeight="1" thickBot="1">
      <c r="A1258" s="808"/>
      <c r="B1258" s="166"/>
      <c r="C1258" s="166"/>
      <c r="D1258" s="166"/>
      <c r="E1258" s="166"/>
      <c r="F1258" s="166"/>
      <c r="G1258" s="166"/>
      <c r="M1258" s="143"/>
      <c r="N1258" s="143"/>
      <c r="O1258" s="733"/>
      <c r="P1258" s="23"/>
      <c r="Q1258" s="23"/>
      <c r="R1258" s="23"/>
      <c r="S1258" s="23"/>
      <c r="T1258" s="23"/>
      <c r="U1258" s="23"/>
      <c r="V1258" s="30"/>
      <c r="W1258" s="30"/>
      <c r="X1258" s="30"/>
      <c r="Y1258" s="494"/>
      <c r="Z1258" s="30"/>
      <c r="AA1258" s="30"/>
      <c r="AB1258" s="30"/>
      <c r="AC1258" s="30"/>
      <c r="AD1258" s="30"/>
      <c r="AE1258" s="30"/>
      <c r="AF1258" s="58"/>
      <c r="AG1258" s="30"/>
      <c r="AH1258" s="30"/>
      <c r="AI1258" s="30"/>
      <c r="AJ1258" s="504"/>
      <c r="AK1258" s="504"/>
      <c r="AL1258" s="342"/>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hidden="1" customHeight="1" thickBot="1">
      <c r="A1259" s="808"/>
      <c r="B1259" s="166"/>
      <c r="C1259" s="166"/>
      <c r="D1259" s="166"/>
      <c r="E1259" s="166"/>
      <c r="F1259" s="506" t="str">
        <f>Translations!$B$333</f>
        <v>Pakopa</v>
      </c>
      <c r="G1259" s="1557" t="str">
        <f>Translations!$B$672</f>
        <v>pakopos aprašas</v>
      </c>
      <c r="H1259" s="1557"/>
      <c r="I1259" s="1555" t="str">
        <f>Translations!$B$158</f>
        <v>Vienetas</v>
      </c>
      <c r="J1259" s="1555"/>
      <c r="K1259" s="1555" t="str">
        <f>Translations!$B$673</f>
        <v>Vertė</v>
      </c>
      <c r="L1259" s="1555"/>
      <c r="M1259" s="507" t="str">
        <f>Translations!$B$610</f>
        <v>klaida</v>
      </c>
      <c r="O1259" s="733"/>
      <c r="P1259" s="508"/>
      <c r="Q1259" s="352" t="str">
        <f>EUconst_SumEnergyIN &amp; "_" &amp; K1250</f>
        <v>SUM_EnergyIN_</v>
      </c>
      <c r="R1259" s="399" t="str">
        <f>IF(OR(K1250="",T1251)=TRUE,"",INDEX(BC1265:BE1265,MATCH(K1250,BC1260:BE1260,0)))</f>
        <v/>
      </c>
      <c r="S1259" s="30"/>
      <c r="T1259" s="489"/>
      <c r="U1259" s="30"/>
      <c r="V1259" s="509" t="s">
        <v>303</v>
      </c>
      <c r="W1259" s="30"/>
      <c r="X1259" s="30"/>
      <c r="Y1259" s="494" t="s">
        <v>566</v>
      </c>
      <c r="Z1259" s="494" t="s">
        <v>318</v>
      </c>
      <c r="AA1259" s="30"/>
      <c r="AB1259" s="30"/>
      <c r="AC1259" s="505" t="s">
        <v>309</v>
      </c>
      <c r="AD1259" s="30"/>
      <c r="AE1259" s="30"/>
      <c r="AF1259" s="492" t="s">
        <v>305</v>
      </c>
      <c r="AG1259" s="492" t="s">
        <v>306</v>
      </c>
      <c r="AH1259" s="494" t="s">
        <v>304</v>
      </c>
      <c r="AI1259" s="504" t="s">
        <v>307</v>
      </c>
      <c r="AJ1259" s="504" t="s">
        <v>567</v>
      </c>
      <c r="AK1259" s="510" t="s">
        <v>311</v>
      </c>
      <c r="AL1259" s="342"/>
      <c r="AM1259" s="30"/>
      <c r="AN1259" s="492" t="s">
        <v>305</v>
      </c>
      <c r="AO1259" s="492" t="s">
        <v>306</v>
      </c>
      <c r="AP1259" s="511" t="s">
        <v>310</v>
      </c>
      <c r="AQ1259" s="504" t="s">
        <v>569</v>
      </c>
      <c r="AR1259" s="504" t="s">
        <v>568</v>
      </c>
      <c r="AS1259" s="510" t="s">
        <v>609</v>
      </c>
      <c r="AT1259" s="510" t="s">
        <v>609</v>
      </c>
      <c r="AU1259" s="30"/>
      <c r="AV1259" s="492"/>
      <c r="AW1259" s="492"/>
      <c r="AX1259" s="492" t="s">
        <v>321</v>
      </c>
      <c r="AY1259" s="492"/>
      <c r="AZ1259" s="492"/>
      <c r="BA1259" s="492"/>
      <c r="BB1259" s="492"/>
      <c r="BC1259" s="492"/>
      <c r="BD1259" s="492"/>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3" t="s">
        <v>262</v>
      </c>
    </row>
    <row r="1260" spans="1:78" s="142" customFormat="1" ht="12.75" hidden="1" customHeight="1" thickBot="1">
      <c r="A1260" s="808"/>
      <c r="B1260" s="166"/>
      <c r="C1260" s="777" t="s">
        <v>196</v>
      </c>
      <c r="D1260" s="512" t="str">
        <f>Translations!$B$622</f>
        <v>VD:</v>
      </c>
      <c r="E1260" s="513"/>
      <c r="F1260" s="402"/>
      <c r="G1260" s="1532" t="str">
        <f>IF(OR(ISBLANK(F1260),F1260=EUconst_NoTier),"",IF(Z1260=0,EUconst_NA,IF(ISERROR(Z1260),"",Z1260)))</f>
        <v/>
      </c>
      <c r="H1260" s="1533"/>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0"/>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0"/>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0"/>
      <c r="AV1260" s="492" t="s">
        <v>314</v>
      </c>
      <c r="AW1260" s="492" t="s">
        <v>319</v>
      </c>
      <c r="AX1260" s="524"/>
      <c r="AY1260" s="30" t="s">
        <v>542</v>
      </c>
      <c r="AZ1260" s="30"/>
      <c r="BA1260" s="30"/>
      <c r="BB1260" s="504"/>
      <c r="BC1260" s="493" t="str">
        <f>EUconst_Fuel</f>
        <v>Degimas</v>
      </c>
      <c r="BD1260" s="493" t="str">
        <f>EUconst_ProcessCarbonate</f>
        <v>Proceso metu išsiskiriančios ŠESD</v>
      </c>
      <c r="BE1260" s="493"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4" t="b">
        <f>BZ1255</f>
        <v>1</v>
      </c>
    </row>
    <row r="1261" spans="1:78" s="142" customFormat="1" ht="5.0999999999999996" hidden="1" customHeight="1" thickBot="1">
      <c r="A1261" s="808"/>
      <c r="B1261" s="166"/>
      <c r="C1261" s="814"/>
      <c r="D1261" s="306"/>
      <c r="F1261" s="143"/>
      <c r="G1261" s="143"/>
      <c r="H1261" s="143" t="s">
        <v>236</v>
      </c>
      <c r="I1261" s="525"/>
      <c r="J1261" s="525"/>
      <c r="K1261" s="143"/>
      <c r="L1261" s="143"/>
      <c r="M1261" s="710"/>
      <c r="O1261" s="733"/>
      <c r="P1261" s="33"/>
      <c r="Q1261" s="33"/>
      <c r="R1261" s="33"/>
      <c r="S1261" s="30"/>
      <c r="T1261" s="155"/>
      <c r="U1261" s="497"/>
      <c r="V1261" s="30"/>
      <c r="W1261" s="30"/>
      <c r="X1261" s="497"/>
      <c r="Y1261" s="526"/>
      <c r="Z1261" s="30"/>
      <c r="AA1261" s="30"/>
      <c r="AB1261" s="30"/>
      <c r="AC1261" s="30"/>
      <c r="AD1261" s="30"/>
      <c r="AE1261" s="30"/>
      <c r="AF1261" s="30"/>
      <c r="AG1261" s="30"/>
      <c r="AH1261" s="30"/>
      <c r="AI1261" s="30"/>
      <c r="AJ1261" s="30"/>
      <c r="AK1261" s="30"/>
      <c r="AL1261" s="342"/>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3"/>
    </row>
    <row r="1262" spans="1:78" s="142" customFormat="1" ht="12.75" hidden="1" customHeight="1" thickBot="1">
      <c r="A1262" s="808"/>
      <c r="B1262" s="166"/>
      <c r="C1262" s="814" t="s">
        <v>197</v>
      </c>
      <c r="D1262" s="512" t="str">
        <f>Translations!$B$634</f>
        <v>(prelim.) ITF:</v>
      </c>
      <c r="E1262" s="513"/>
      <c r="F1262" s="527"/>
      <c r="G1262" s="1532" t="str">
        <f t="shared" ref="G1262:G1268" si="308">IF(OR(ISBLANK(F1262),F1262=EUconst_NoTier),"",IF(Z1262=0,EUconst_NotApplicable,IF(ISERROR(Z1262),"",Z1262)))</f>
        <v/>
      </c>
      <c r="H1262" s="1556"/>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3"/>
      <c r="Q1262" s="33"/>
      <c r="R1262" s="33"/>
      <c r="S1262" s="30"/>
      <c r="T1262" s="530" t="str">
        <f>EUconst_CNTR_EF&amp;E1251</f>
        <v>EF_</v>
      </c>
      <c r="U1262" s="497"/>
      <c r="V1262" s="531" t="str">
        <f>V1260</f>
        <v/>
      </c>
      <c r="W1262" s="30"/>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0"/>
      <c r="AC1262" s="535" t="b">
        <f>AND(AC1260,Y1262&lt;&gt;EUconst_NA)</f>
        <v>0</v>
      </c>
      <c r="AD1262" s="30"/>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0"/>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0"/>
      <c r="BA1262" s="30"/>
      <c r="BB1262" s="547" t="s">
        <v>594</v>
      </c>
      <c r="BC1262" s="546" t="str">
        <f>IF(K1250=BC1260,AR1260*IF(AJ1262=EUconst_tCO2pTJ,(AR1263/1000),1)*AR1262*AR1264*AR1268,"")</f>
        <v/>
      </c>
      <c r="BD1262" s="524" t="str">
        <f>IF(K1250=BD1260,AR1260*AR1262*AR1265*AR1268,"")</f>
        <v/>
      </c>
      <c r="BE1262" s="523"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1" t="b">
        <f>OR(BZ1260,Y1262=EUconst_NA)</f>
        <v>1</v>
      </c>
    </row>
    <row r="1263" spans="1:78" s="142" customFormat="1" ht="12.75" hidden="1" customHeight="1" thickBot="1">
      <c r="A1263" s="808"/>
      <c r="B1263" s="166"/>
      <c r="C1263" s="814" t="s">
        <v>198</v>
      </c>
      <c r="D1263" s="512" t="str">
        <f>Translations!$B$636</f>
        <v>GŠV:</v>
      </c>
      <c r="E1263" s="513"/>
      <c r="F1263" s="548"/>
      <c r="G1263" s="1532" t="str">
        <f t="shared" si="308"/>
        <v/>
      </c>
      <c r="H1263" s="1533"/>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3"/>
      <c r="Q1263" s="33"/>
      <c r="R1263" s="33"/>
      <c r="S1263" s="30"/>
      <c r="T1263" s="552" t="str">
        <f>EUconst_CNTR_NCV&amp;E1251</f>
        <v>NCV_</v>
      </c>
      <c r="U1263" s="497"/>
      <c r="V1263" s="553" t="str">
        <f t="shared" ref="V1263:V1268" si="314">V1262</f>
        <v/>
      </c>
      <c r="W1263" s="30"/>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0"/>
      <c r="AC1263" s="557" t="b">
        <f>AND(AC1260,Y1263&lt;&gt;EUconst_NA)</f>
        <v>0</v>
      </c>
      <c r="AD1263" s="30"/>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0"/>
      <c r="AV1263" s="567" t="b">
        <f t="shared" si="311"/>
        <v>0</v>
      </c>
      <c r="AW1263" s="568" t="b">
        <f t="shared" si="312"/>
        <v>0</v>
      </c>
      <c r="AX1263" s="30"/>
      <c r="AY1263" s="553" t="b">
        <f t="shared" si="313"/>
        <v>0</v>
      </c>
      <c r="AZ1263" s="30"/>
      <c r="BA1263" s="30"/>
      <c r="BB1263" s="547" t="s">
        <v>595</v>
      </c>
      <c r="BC1263" s="546" t="str">
        <f>IF(K1250=BC1260,AR1260*IF(AJ1262=EUconst_tCO2pTJ,(AR1263/1000),1)*AR1262*AR1264*AR1267,"")</f>
        <v/>
      </c>
      <c r="BD1263" s="524" t="str">
        <f>IF(K1250=BD1260,AR1260*AR1262*AR1265*AR1267,"")</f>
        <v/>
      </c>
      <c r="BE1263" s="523"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3" t="b">
        <f>OR(BZ1260,Y1263=EUconst_NA)</f>
        <v>1</v>
      </c>
    </row>
    <row r="1264" spans="1:78" s="142" customFormat="1" ht="12.75" hidden="1" customHeight="1" thickBot="1">
      <c r="A1264" s="808"/>
      <c r="B1264" s="166"/>
      <c r="C1264" s="814" t="s">
        <v>199</v>
      </c>
      <c r="D1264" s="512" t="str">
        <f>Translations!$B$638</f>
        <v>OksK:</v>
      </c>
      <c r="E1264" s="513"/>
      <c r="F1264" s="548"/>
      <c r="G1264" s="1532" t="str">
        <f t="shared" si="308"/>
        <v/>
      </c>
      <c r="H1264" s="1533"/>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3"/>
      <c r="Q1264" s="33"/>
      <c r="R1264" s="33"/>
      <c r="S1264" s="30"/>
      <c r="T1264" s="552" t="str">
        <f>EUconst_CNTR_OxidationFactor&amp;E1251</f>
        <v>OxF_</v>
      </c>
      <c r="U1264" s="497"/>
      <c r="V1264" s="553" t="str">
        <f t="shared" si="314"/>
        <v/>
      </c>
      <c r="W1264" s="30"/>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0"/>
      <c r="AC1264" s="557" t="b">
        <f>AND(AC1260,Y1264&lt;&gt;EUconst_NA)</f>
        <v>0</v>
      </c>
      <c r="AD1264" s="30"/>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0"/>
      <c r="AV1264" s="567" t="b">
        <f t="shared" si="311"/>
        <v>0</v>
      </c>
      <c r="AW1264" s="568" t="b">
        <f t="shared" si="312"/>
        <v>0</v>
      </c>
      <c r="AX1264" s="30"/>
      <c r="AY1264" s="594" t="b">
        <f t="shared" si="313"/>
        <v>0</v>
      </c>
      <c r="AZ1264" s="531" t="b">
        <f>AR1264&gt;100%</f>
        <v>0</v>
      </c>
      <c r="BA1264" s="30"/>
      <c r="BB1264" s="547" t="s">
        <v>290</v>
      </c>
      <c r="BC1264" s="546" t="str">
        <f>IF(K1250=BC1260,AR1260*IF(AJ1262=EUconst_tCO2pTJ,(AR1263/1000),1)*AR1262*AR1264*(1-AR1267),"")</f>
        <v/>
      </c>
      <c r="BD1264" s="524" t="str">
        <f>IF(K1250=BD1260,AR1260*AR1262*AR1265*(1-AR1267),"")</f>
        <v/>
      </c>
      <c r="BE1264" s="523"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3" t="b">
        <f>OR(BZ1260,Y1264=EUconst_NA)</f>
        <v>1</v>
      </c>
    </row>
    <row r="1265" spans="1:78" s="142" customFormat="1" ht="12.75" hidden="1" customHeight="1" thickBot="1">
      <c r="A1265" s="808"/>
      <c r="B1265" s="166"/>
      <c r="C1265" s="814" t="s">
        <v>200</v>
      </c>
      <c r="D1265" s="512" t="str">
        <f>Translations!$B$639</f>
        <v>KonvK:</v>
      </c>
      <c r="E1265" s="513"/>
      <c r="F1265" s="548"/>
      <c r="G1265" s="1532" t="str">
        <f t="shared" si="308"/>
        <v/>
      </c>
      <c r="H1265" s="1533"/>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3"/>
      <c r="Q1265" s="33"/>
      <c r="R1265" s="33"/>
      <c r="S1265" s="30"/>
      <c r="T1265" s="552" t="str">
        <f>EUconst_CNTR_ConversionFactor&amp;E1251</f>
        <v>ConvF_</v>
      </c>
      <c r="U1265" s="497"/>
      <c r="V1265" s="553" t="str">
        <f t="shared" si="314"/>
        <v/>
      </c>
      <c r="W1265" s="30"/>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0"/>
      <c r="AC1265" s="557" t="b">
        <f>AND(AC1260,Y1265&lt;&gt;EUconst_NA)</f>
        <v>0</v>
      </c>
      <c r="AD1265" s="30"/>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0"/>
      <c r="AV1265" s="567" t="b">
        <f t="shared" si="311"/>
        <v>0</v>
      </c>
      <c r="AW1265" s="568" t="b">
        <f t="shared" si="312"/>
        <v>0</v>
      </c>
      <c r="AX1265" s="30"/>
      <c r="AY1265" s="594" t="b">
        <f t="shared" si="313"/>
        <v>0</v>
      </c>
      <c r="AZ1265" s="580" t="b">
        <f>AR1265&gt;100%</f>
        <v>0</v>
      </c>
      <c r="BA1265" s="30"/>
      <c r="BB1265" s="578" t="s">
        <v>487</v>
      </c>
      <c r="BC1265" s="579">
        <f>AR1260*AR1263/1000*(1-AR1267)</f>
        <v>0</v>
      </c>
      <c r="BD1265" s="580">
        <f>BC1265</f>
        <v>0</v>
      </c>
      <c r="BE1265" s="581">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3" t="b">
        <f>OR(BZ1260,Y1265=EUconst_NA)</f>
        <v>1</v>
      </c>
    </row>
    <row r="1266" spans="1:78" s="142" customFormat="1" ht="12.75" hidden="1" customHeight="1" thickBot="1">
      <c r="A1266" s="808"/>
      <c r="B1266" s="166"/>
      <c r="C1266" s="814" t="s">
        <v>329</v>
      </c>
      <c r="D1266" s="512" t="str">
        <f>Translations!$B$640</f>
        <v>AnglK:</v>
      </c>
      <c r="E1266" s="513"/>
      <c r="F1266" s="548"/>
      <c r="G1266" s="1532" t="str">
        <f t="shared" si="308"/>
        <v/>
      </c>
      <c r="H1266" s="1533"/>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3"/>
      <c r="Q1266" s="33"/>
      <c r="R1266" s="33"/>
      <c r="S1266" s="30"/>
      <c r="T1266" s="552" t="str">
        <f>EUconst_CNTR_CarbonContent&amp;E1251</f>
        <v>CarbC_</v>
      </c>
      <c r="U1266" s="497"/>
      <c r="V1266" s="553" t="str">
        <f t="shared" si="314"/>
        <v/>
      </c>
      <c r="W1266" s="30"/>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0"/>
      <c r="AC1266" s="557" t="b">
        <f>AND(AC1260,Y1266&lt;&gt;EUconst_NA)</f>
        <v>0</v>
      </c>
      <c r="AD1266" s="30"/>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0"/>
      <c r="AV1266" s="567" t="b">
        <f t="shared" si="311"/>
        <v>0</v>
      </c>
      <c r="AW1266" s="568" t="b">
        <f t="shared" si="312"/>
        <v>0</v>
      </c>
      <c r="AX1266" s="546" t="b">
        <f>OR(AND(AJ1260=EUconst_kNm3,AJ1266=EUconst_tCpt),AND(AJ1260=EUconst_t,AJ1266=EUconst_tCpkNm3))</f>
        <v>0</v>
      </c>
      <c r="AY1266" s="553" t="b">
        <f t="shared" si="313"/>
        <v>0</v>
      </c>
      <c r="AZ1266" s="30"/>
      <c r="BA1266" s="30"/>
      <c r="BB1266" s="578" t="s">
        <v>488</v>
      </c>
      <c r="BC1266" s="579">
        <f>AR1260*AR1263/1000*AR1267</f>
        <v>0</v>
      </c>
      <c r="BD1266" s="580">
        <f>BC1266</f>
        <v>0</v>
      </c>
      <c r="BE1266" s="581">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3" t="b">
        <f>OR(BZ1260,Y1266=EUconst_NA)</f>
        <v>1</v>
      </c>
    </row>
    <row r="1267" spans="1:78" s="142" customFormat="1" ht="12.75" hidden="1" customHeight="1" thickBot="1">
      <c r="A1267" s="808"/>
      <c r="B1267" s="166"/>
      <c r="C1267" s="777" t="s">
        <v>330</v>
      </c>
      <c r="D1267" s="512" t="str">
        <f>Translations!$B$641</f>
        <v>BioC:</v>
      </c>
      <c r="E1267" s="513"/>
      <c r="F1267" s="548"/>
      <c r="G1267" s="1532" t="str">
        <f t="shared" si="308"/>
        <v/>
      </c>
      <c r="H1267" s="1533"/>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0"/>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0"/>
      <c r="AC1267" s="557" t="b">
        <f>AND(AC1260,Y1267&lt;&gt;EUconst_NA)</f>
        <v>0</v>
      </c>
      <c r="AD1267" s="30"/>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0"/>
      <c r="AV1267" s="567" t="b">
        <f t="shared" si="311"/>
        <v>0</v>
      </c>
      <c r="AW1267" s="568" t="b">
        <f t="shared" si="312"/>
        <v>0</v>
      </c>
      <c r="AX1267" s="30"/>
      <c r="AY1267" s="594" t="b">
        <f t="shared" si="313"/>
        <v>0</v>
      </c>
      <c r="AZ1267" s="531"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3" t="b">
        <f>OR(BZ1260,Y1267=EUconst_NA)</f>
        <v>1</v>
      </c>
    </row>
    <row r="1268" spans="1:78" s="142" customFormat="1" ht="12.75" hidden="1" customHeight="1" thickBot="1">
      <c r="A1268" s="808"/>
      <c r="B1268" s="166"/>
      <c r="C1268" s="777" t="s">
        <v>454</v>
      </c>
      <c r="D1268" s="512" t="str">
        <f>Translations!$B$647</f>
        <v>Netvar. BioC:</v>
      </c>
      <c r="E1268" s="513"/>
      <c r="F1268" s="597"/>
      <c r="G1268" s="1532" t="str">
        <f t="shared" si="308"/>
        <v/>
      </c>
      <c r="H1268" s="1533"/>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0"/>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0"/>
      <c r="AC1268" s="603" t="b">
        <f>AND(AC1260,Y1268&lt;&gt;EUconst_NA)</f>
        <v>0</v>
      </c>
      <c r="AD1268" s="30"/>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0"/>
      <c r="AV1268" s="613" t="b">
        <f t="shared" si="311"/>
        <v>0</v>
      </c>
      <c r="AW1268" s="614" t="b">
        <f t="shared" si="312"/>
        <v>0</v>
      </c>
      <c r="AX1268" s="30"/>
      <c r="AY1268" s="579" t="b">
        <f t="shared" si="313"/>
        <v>0</v>
      </c>
      <c r="AZ1268" s="580"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80" t="b">
        <f>OR(BZ1260,Y1268=EUconst_NA)</f>
        <v>1</v>
      </c>
    </row>
    <row r="1269" spans="1:78" s="142" customFormat="1" ht="5.0999999999999996" hidden="1" customHeight="1" thickBot="1">
      <c r="A1269" s="808"/>
      <c r="B1269" s="166"/>
      <c r="C1269" s="166"/>
      <c r="D1269" s="180"/>
      <c r="O1269" s="733"/>
      <c r="P1269" s="33"/>
      <c r="Q1269" s="33"/>
      <c r="R1269" s="33"/>
      <c r="S1269" s="174"/>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hidden="1" customHeight="1" thickBot="1">
      <c r="A1270" s="808"/>
      <c r="B1270" s="166"/>
      <c r="C1270" s="166"/>
      <c r="D1270" s="1558" t="str">
        <f>Translations!$B$674</f>
        <v>Pakopos galioja nuo:</v>
      </c>
      <c r="E1270" s="1558"/>
      <c r="F1270" s="1559"/>
      <c r="G1270" s="1052"/>
      <c r="H1270" s="615" t="str">
        <f>Translations!$B$675</f>
        <v>iki:</v>
      </c>
      <c r="I1270" s="1052"/>
      <c r="J1270" s="1536" t="str">
        <f>Translations!$B$676</f>
        <v>Atliekų katalogo numeris (jeigu taikytina):</v>
      </c>
      <c r="K1270" s="1537"/>
      <c r="L1270" s="1537"/>
      <c r="M1270" s="1538"/>
      <c r="N1270" s="1289"/>
      <c r="O1270" s="733"/>
      <c r="P1270" s="33"/>
      <c r="Q1270" s="33"/>
      <c r="R1270" s="33"/>
      <c r="S1270" s="1290"/>
      <c r="T1270" s="492"/>
      <c r="U1270" s="492"/>
      <c r="V1270" s="48" t="b">
        <f>IF(V1260="",FALSE,INDEX(CNTR_IsWaste,MATCH(V1260,MSParameters!$A$218:$A$376,0)))</f>
        <v>0</v>
      </c>
      <c r="W1270" s="1290"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hidden="1" customHeight="1" thickBot="1">
      <c r="A1271" s="808"/>
      <c r="B1271" s="166"/>
      <c r="C1271" s="166"/>
      <c r="D1271" s="615"/>
      <c r="E1271" s="495"/>
      <c r="F1271" s="495"/>
      <c r="G1271" s="495"/>
      <c r="H1271" s="495"/>
      <c r="I1271" s="495"/>
      <c r="J1271" s="495"/>
      <c r="K1271" s="495"/>
      <c r="L1271" s="495"/>
      <c r="M1271" s="495"/>
      <c r="N1271" s="495"/>
      <c r="O1271" s="733"/>
      <c r="P1271" s="33"/>
      <c r="Q1271" s="33"/>
      <c r="R1271" s="33"/>
      <c r="S1271" s="174"/>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hidden="1" customHeight="1" thickBot="1">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3"/>
      <c r="Q1272" s="33"/>
      <c r="R1272" s="33"/>
      <c r="S1272" s="174"/>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hidden="1" customHeight="1" thickBot="1">
      <c r="A1273" s="815"/>
      <c r="D1273" s="180"/>
      <c r="O1273" s="573"/>
      <c r="P1273" s="497"/>
      <c r="Q1273" s="497"/>
      <c r="R1273" s="497"/>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ht="13.5" hidden="1" thickBot="1">
      <c r="A1274" s="815"/>
      <c r="D1274" s="1534" t="str">
        <f>Translations!$B$160</f>
        <v>Pastabos:</v>
      </c>
      <c r="E1274" s="1535"/>
      <c r="F1274" s="1539"/>
      <c r="G1274" s="1540"/>
      <c r="H1274" s="1540"/>
      <c r="I1274" s="1540"/>
      <c r="J1274" s="1540"/>
      <c r="K1274" s="1540"/>
      <c r="L1274" s="1540"/>
      <c r="M1274" s="1540"/>
      <c r="N1274" s="1541"/>
      <c r="O1274" s="573"/>
      <c r="P1274" s="497"/>
      <c r="Q1274" s="497"/>
      <c r="R1274" s="497"/>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c r="A1275" s="808"/>
      <c r="B1275" s="495"/>
      <c r="C1275" s="499"/>
      <c r="D1275" s="500"/>
      <c r="E1275" s="501"/>
      <c r="F1275" s="499"/>
      <c r="G1275" s="502"/>
      <c r="H1275" s="502"/>
      <c r="I1275" s="502"/>
      <c r="J1275" s="502"/>
      <c r="K1275" s="502"/>
      <c r="L1275" s="502"/>
      <c r="M1275" s="502"/>
      <c r="N1275" s="502"/>
      <c r="O1275" s="740"/>
      <c r="P1275" s="494"/>
      <c r="Q1275" s="494"/>
      <c r="R1275" s="494"/>
      <c r="S1275" s="58"/>
      <c r="T1275" s="58"/>
      <c r="U1275" s="498"/>
      <c r="V1275" s="58"/>
      <c r="W1275" s="58"/>
      <c r="X1275" s="498"/>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c r="A1276" s="813"/>
      <c r="B1276" s="495"/>
      <c r="C1276" s="495"/>
      <c r="D1276" s="180"/>
      <c r="E1276" s="496"/>
      <c r="F1276" s="495"/>
      <c r="G1276" s="487"/>
      <c r="H1276" s="487"/>
      <c r="I1276" s="487"/>
      <c r="J1276" s="487"/>
      <c r="K1276" s="495"/>
      <c r="L1276" s="487"/>
      <c r="M1276" s="487"/>
      <c r="N1276" s="487"/>
      <c r="O1276" s="740"/>
      <c r="P1276" s="494"/>
      <c r="Q1276" s="494"/>
      <c r="R1276" s="494"/>
      <c r="S1276" s="23"/>
      <c r="T1276" s="27" t="str">
        <f>IF(ISBLANK(E1277),"",MATCH(E1277,CNTR_SourceStreamNames,0))</f>
        <v/>
      </c>
      <c r="U1276" s="618"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1"/>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3" t="s">
        <v>262</v>
      </c>
    </row>
    <row r="1277" spans="1:78" s="142" customFormat="1" ht="15" hidden="1" customHeight="1" thickBot="1">
      <c r="A1277" s="869" t="str">
        <f>IF(E1277="","","PRINT")</f>
        <v/>
      </c>
      <c r="B1277" s="166"/>
      <c r="C1277" s="617">
        <f>C1250+1</f>
        <v>46</v>
      </c>
      <c r="D1277" s="166"/>
      <c r="E1277" s="1542"/>
      <c r="F1277" s="1543"/>
      <c r="G1277" s="1543"/>
      <c r="H1277" s="1543"/>
      <c r="I1277" s="1543"/>
      <c r="J1277" s="1544"/>
      <c r="K1277" s="1545" t="str">
        <f>IF(E1278="","",INDEX(EUwideConstants!$F$353:$F$394,MATCH(E1278,EUConst_TierActivityListNames,0)))</f>
        <v/>
      </c>
      <c r="L1277" s="1546"/>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3"/>
      <c r="T1277" s="509" t="s">
        <v>393</v>
      </c>
      <c r="U1277" s="23"/>
      <c r="V1277" s="78"/>
      <c r="W1277" s="56"/>
      <c r="X1277" s="58"/>
      <c r="Y1277" s="58"/>
      <c r="Z1277" s="58"/>
      <c r="AA1277" s="58"/>
      <c r="AB1277" s="58"/>
      <c r="AC1277" s="58"/>
      <c r="AD1277" s="58"/>
      <c r="AE1277" s="58"/>
      <c r="AF1277" s="58"/>
      <c r="AG1277" s="58"/>
      <c r="AH1277" s="58"/>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6"/>
      <c r="BZ1277" s="619" t="b">
        <f>CNTR_CalcRelevant=EUconst_NotRelevant</f>
        <v>0</v>
      </c>
    </row>
    <row r="1278" spans="1:78" s="142" customFormat="1" ht="15" hidden="1" customHeight="1" thickBot="1">
      <c r="A1278" s="808"/>
      <c r="B1278" s="166"/>
      <c r="C1278" s="166"/>
      <c r="D1278" s="166"/>
      <c r="E1278" s="1547" t="str">
        <f>IF(ISBLANK(E1277),"",IF(INDEX(B_InstallationDescription!$E$71:$E$145,MATCH(U1276,B_InstallationDescription!$D$71:$D$145,0))&gt;0,INDEX(B_InstallationDescription!$E$71:$E$145,MATCH(U1276,B_InstallationDescription!$D$71:$D$145,0)),""))</f>
        <v/>
      </c>
      <c r="F1278" s="1548"/>
      <c r="G1278" s="1548"/>
      <c r="H1278" s="1548"/>
      <c r="I1278" s="1548"/>
      <c r="J1278" s="1549"/>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4"/>
      <c r="AH1278" s="30"/>
      <c r="AI1278" s="30"/>
      <c r="AJ1278" s="504"/>
      <c r="AK1278" s="504"/>
      <c r="AL1278" s="342"/>
      <c r="AM1278" s="27" t="s">
        <v>308</v>
      </c>
      <c r="AN1278" s="505"/>
      <c r="AO1278" s="505"/>
      <c r="AP1278" s="30"/>
      <c r="AQ1278" s="30"/>
      <c r="AR1278" s="30"/>
      <c r="AS1278" s="30"/>
      <c r="AT1278" s="30"/>
      <c r="AU1278" s="30"/>
      <c r="AV1278" s="27" t="s">
        <v>315</v>
      </c>
      <c r="AW1278" s="30"/>
      <c r="AX1278" s="492"/>
      <c r="AY1278" s="30"/>
      <c r="AZ1278" s="30"/>
      <c r="BA1278" s="30"/>
      <c r="BB1278" s="27" t="s">
        <v>219</v>
      </c>
      <c r="BC1278" s="30"/>
      <c r="BD1278" s="30"/>
      <c r="BE1278" s="30"/>
      <c r="BF1278" s="30"/>
      <c r="BG1278" s="27"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0"/>
      <c r="BZ1278" s="30"/>
    </row>
    <row r="1279" spans="1:78" s="142" customFormat="1" ht="4.5" hidden="1" customHeight="1" thickBot="1">
      <c r="A1279" s="808"/>
      <c r="B1279" s="166"/>
      <c r="C1279" s="166"/>
      <c r="D1279" s="166"/>
      <c r="E1279" s="166"/>
      <c r="F1279" s="166"/>
      <c r="G1279" s="166"/>
      <c r="M1279" s="143"/>
      <c r="N1279" s="143"/>
      <c r="O1279" s="733"/>
      <c r="P1279" s="33"/>
      <c r="Q1279" s="33"/>
      <c r="R1279" s="33"/>
      <c r="S1279" s="23"/>
      <c r="T1279" s="23"/>
      <c r="U1279" s="23"/>
      <c r="V1279" s="78"/>
      <c r="W1279" s="30"/>
      <c r="X1279" s="30"/>
      <c r="Y1279" s="494"/>
      <c r="Z1279" s="30"/>
      <c r="AA1279" s="30"/>
      <c r="AB1279" s="30"/>
      <c r="AC1279" s="30"/>
      <c r="AD1279" s="30"/>
      <c r="AE1279" s="30"/>
      <c r="AF1279" s="58"/>
      <c r="AG1279" s="30"/>
      <c r="AH1279" s="30"/>
      <c r="AI1279" s="30"/>
      <c r="AJ1279" s="504"/>
      <c r="AK1279" s="504"/>
      <c r="AL1279" s="342"/>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hidden="1" customHeight="1" thickBot="1">
      <c r="A1280" s="808"/>
      <c r="B1280" s="166"/>
      <c r="C1280" s="166"/>
      <c r="D1280" s="166"/>
      <c r="E1280" s="1550" t="str">
        <f>IF(E1277="","",IF(T1278=TRUE,HYPERLINK("#JUMP_14",EUconst_MsgGoOnPFC),HYPERLINK("#JUMP_E_8",EUconst_FurtherGuidancePoint1)))</f>
        <v/>
      </c>
      <c r="F1280" s="1550"/>
      <c r="G1280" s="1550"/>
      <c r="H1280" s="1550"/>
      <c r="I1280" s="1550"/>
      <c r="J1280" s="1550"/>
      <c r="K1280" s="1550"/>
      <c r="L1280" s="1550"/>
      <c r="M1280" s="1550"/>
      <c r="N1280" s="143"/>
      <c r="O1280" s="733"/>
      <c r="P1280" s="33"/>
      <c r="Q1280" s="352" t="str">
        <f>EUconst_SumNonSustBioCO2 &amp; "_" &amp; K1277</f>
        <v>SUM_bioNonSustCO2_</v>
      </c>
      <c r="R1280" s="707"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4"/>
      <c r="AK1280" s="504"/>
      <c r="AL1280" s="342"/>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hidden="1" customHeight="1" thickBot="1">
      <c r="A1281" s="808"/>
      <c r="B1281" s="166"/>
      <c r="C1281" s="166"/>
      <c r="D1281" s="166"/>
      <c r="E1281" s="166"/>
      <c r="F1281" s="166"/>
      <c r="G1281" s="166"/>
      <c r="M1281" s="143"/>
      <c r="N1281" s="143"/>
      <c r="O1281" s="733"/>
      <c r="P1281" s="23"/>
      <c r="Q1281" s="23"/>
      <c r="R1281" s="23"/>
      <c r="S1281" s="23"/>
      <c r="T1281" s="23"/>
      <c r="U1281" s="23"/>
      <c r="V1281" s="30"/>
      <c r="W1281" s="30"/>
      <c r="X1281" s="30"/>
      <c r="Y1281" s="494"/>
      <c r="Z1281" s="30"/>
      <c r="AA1281" s="30"/>
      <c r="AB1281" s="30"/>
      <c r="AC1281" s="30"/>
      <c r="AD1281" s="30"/>
      <c r="AE1281" s="30"/>
      <c r="AF1281" s="58"/>
      <c r="AG1281" s="30"/>
      <c r="AH1281" s="30"/>
      <c r="AI1281" s="30"/>
      <c r="AJ1281" s="504"/>
      <c r="AK1281" s="504"/>
      <c r="AL1281" s="342"/>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hidden="1" customHeight="1" thickBot="1">
      <c r="A1282" s="808"/>
      <c r="B1282" s="166"/>
      <c r="C1282" s="814" t="s">
        <v>4</v>
      </c>
      <c r="D1282" s="512" t="str">
        <f>Translations!$B$622</f>
        <v>VD:</v>
      </c>
      <c r="E1282" s="1560" t="str">
        <f>Translations!$B$667</f>
        <v>Ar veiklos duomenys gaunami sudedant išmatuotus kiekius (t. y. ne atliekant nuolatinius matavimus)?</v>
      </c>
      <c r="F1282" s="1560"/>
      <c r="G1282" s="1560"/>
      <c r="H1282" s="1560"/>
      <c r="I1282" s="1560"/>
      <c r="J1282" s="1560"/>
      <c r="K1282" s="1560"/>
      <c r="L1282" s="1179"/>
      <c r="M1282" s="507"/>
      <c r="O1282" s="733"/>
      <c r="P1282" s="23"/>
      <c r="Q1282" s="23"/>
      <c r="R1282" s="23"/>
      <c r="S1282" s="23"/>
      <c r="T1282" s="23"/>
      <c r="U1282" s="23"/>
      <c r="V1282" s="30"/>
      <c r="W1282" s="30"/>
      <c r="X1282" s="30"/>
      <c r="Y1282" s="494"/>
      <c r="Z1282" s="30"/>
      <c r="AA1282" s="30"/>
      <c r="AB1282" s="30"/>
      <c r="AC1282" s="1172" t="b">
        <f>AND(E1277&lt;&gt;"",T1278&lt;&gt;TRUE)</f>
        <v>0</v>
      </c>
      <c r="AD1282" s="30"/>
      <c r="AE1282" s="30"/>
      <c r="AF1282" s="58"/>
      <c r="AG1282" s="30"/>
      <c r="AH1282" s="30"/>
      <c r="AI1282" s="30"/>
      <c r="AJ1282" s="504"/>
      <c r="AK1282" s="504"/>
      <c r="AL1282" s="342"/>
      <c r="AM1282" s="30"/>
      <c r="AN1282" s="30"/>
      <c r="AO1282" s="30"/>
      <c r="AP1282" s="30"/>
      <c r="AQ1282" s="30"/>
      <c r="AR1282" s="30"/>
      <c r="AS1282" s="30"/>
      <c r="AT1282" s="1172"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2" t="b">
        <f>OR(CNTR_CalcRelevant=EUconst_NotRelevant,AND(COUNTA(CNTR_ListRelevantSections)&gt;0,OR(T1278=TRUE,E1277="")))</f>
        <v>1</v>
      </c>
    </row>
    <row r="1283" spans="1:78" s="142" customFormat="1" ht="5.0999999999999996" hidden="1" customHeight="1" thickBot="1">
      <c r="A1283" s="808"/>
      <c r="B1283" s="166"/>
      <c r="C1283" s="166"/>
      <c r="D1283" s="166"/>
      <c r="E1283" s="166"/>
      <c r="F1283" s="166"/>
      <c r="G1283" s="166"/>
      <c r="H1283" s="495"/>
      <c r="I1283" s="495"/>
      <c r="J1283" s="495"/>
      <c r="K1283" s="495"/>
      <c r="L1283" s="495"/>
      <c r="M1283" s="507"/>
      <c r="O1283" s="733"/>
      <c r="P1283" s="23"/>
      <c r="Q1283" s="23"/>
      <c r="R1283" s="23"/>
      <c r="S1283" s="23"/>
      <c r="T1283" s="23"/>
      <c r="U1283" s="23"/>
      <c r="V1283" s="30"/>
      <c r="W1283" s="30"/>
      <c r="X1283" s="30"/>
      <c r="Y1283" s="494"/>
      <c r="Z1283" s="30"/>
      <c r="AA1283" s="30"/>
      <c r="AB1283" s="30"/>
      <c r="AC1283" s="492"/>
      <c r="AD1283" s="30"/>
      <c r="AE1283" s="30"/>
      <c r="AF1283" s="58"/>
      <c r="AG1283" s="30"/>
      <c r="AH1283" s="30"/>
      <c r="AI1283" s="30"/>
      <c r="AJ1283" s="504"/>
      <c r="AK1283" s="504"/>
      <c r="AL1283" s="342"/>
      <c r="AM1283" s="30"/>
      <c r="AN1283" s="30"/>
      <c r="AO1283" s="30"/>
      <c r="AP1283" s="30"/>
      <c r="AQ1283" s="30"/>
      <c r="AR1283" s="30"/>
      <c r="AS1283" s="30"/>
      <c r="AT1283" s="492"/>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2"/>
    </row>
    <row r="1284" spans="1:78" s="142" customFormat="1" ht="12.75" hidden="1" customHeight="1" thickBot="1">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3"/>
      <c r="Q1284" s="23"/>
      <c r="R1284" s="23"/>
      <c r="S1284" s="23"/>
      <c r="T1284" s="23"/>
      <c r="U1284" s="23"/>
      <c r="V1284" s="30"/>
      <c r="W1284" s="30"/>
      <c r="X1284" s="30"/>
      <c r="Y1284" s="494"/>
      <c r="Z1284" s="30"/>
      <c r="AA1284" s="30"/>
      <c r="AB1284" s="30"/>
      <c r="AC1284" s="1172" t="b">
        <f>AC1282</f>
        <v>0</v>
      </c>
      <c r="AD1284" s="30"/>
      <c r="AE1284" s="30"/>
      <c r="AF1284" s="58"/>
      <c r="AG1284" s="30"/>
      <c r="AH1284" s="30"/>
      <c r="AI1284" s="30"/>
      <c r="AJ1284" s="504"/>
      <c r="AK1284" s="504"/>
      <c r="AL1284" s="342"/>
      <c r="AM1284" s="30"/>
      <c r="AN1284" s="30"/>
      <c r="AO1284" s="30"/>
      <c r="AP1284" s="30"/>
      <c r="AQ1284" s="30"/>
      <c r="AR1284" s="30"/>
      <c r="AS1284" s="30"/>
      <c r="AT1284" s="1172"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2" t="b">
        <f>OR(BZ1282,AND(NOT(ISBLANK(L1282)),L1282=FALSE))</f>
        <v>1</v>
      </c>
    </row>
    <row r="1285" spans="1:78" s="142" customFormat="1" ht="5.0999999999999996" hidden="1" customHeight="1" thickBot="1">
      <c r="A1285" s="808"/>
      <c r="B1285" s="166"/>
      <c r="C1285" s="166"/>
      <c r="D1285" s="166"/>
      <c r="E1285" s="166"/>
      <c r="F1285" s="166"/>
      <c r="G1285" s="166"/>
      <c r="M1285" s="143"/>
      <c r="N1285" s="143"/>
      <c r="O1285" s="733"/>
      <c r="P1285" s="23"/>
      <c r="Q1285" s="23"/>
      <c r="R1285" s="23"/>
      <c r="S1285" s="23"/>
      <c r="T1285" s="23"/>
      <c r="U1285" s="23"/>
      <c r="V1285" s="30"/>
      <c r="W1285" s="30"/>
      <c r="X1285" s="30"/>
      <c r="Y1285" s="494"/>
      <c r="Z1285" s="30"/>
      <c r="AA1285" s="30"/>
      <c r="AB1285" s="30"/>
      <c r="AC1285" s="30"/>
      <c r="AD1285" s="30"/>
      <c r="AE1285" s="30"/>
      <c r="AF1285" s="58"/>
      <c r="AG1285" s="30"/>
      <c r="AH1285" s="30"/>
      <c r="AI1285" s="30"/>
      <c r="AJ1285" s="504"/>
      <c r="AK1285" s="504"/>
      <c r="AL1285" s="342"/>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hidden="1" customHeight="1" thickBot="1">
      <c r="A1286" s="808"/>
      <c r="B1286" s="166"/>
      <c r="C1286" s="166"/>
      <c r="D1286" s="166"/>
      <c r="E1286" s="166"/>
      <c r="F1286" s="506" t="str">
        <f>Translations!$B$333</f>
        <v>Pakopa</v>
      </c>
      <c r="G1286" s="1557" t="str">
        <f>Translations!$B$672</f>
        <v>pakopos aprašas</v>
      </c>
      <c r="H1286" s="1557"/>
      <c r="I1286" s="1555" t="str">
        <f>Translations!$B$158</f>
        <v>Vienetas</v>
      </c>
      <c r="J1286" s="1555"/>
      <c r="K1286" s="1555" t="str">
        <f>Translations!$B$673</f>
        <v>Vertė</v>
      </c>
      <c r="L1286" s="1555"/>
      <c r="M1286" s="507" t="str">
        <f>Translations!$B$610</f>
        <v>klaida</v>
      </c>
      <c r="O1286" s="733"/>
      <c r="P1286" s="508"/>
      <c r="Q1286" s="352" t="str">
        <f>EUconst_SumEnergyIN &amp; "_" &amp; K1277</f>
        <v>SUM_EnergyIN_</v>
      </c>
      <c r="R1286" s="399" t="str">
        <f>IF(OR(K1277="",T1278)=TRUE,"",INDEX(BC1292:BE1292,MATCH(K1277,BC1287:BE1287,0)))</f>
        <v/>
      </c>
      <c r="S1286" s="30"/>
      <c r="T1286" s="489"/>
      <c r="U1286" s="30"/>
      <c r="V1286" s="509" t="s">
        <v>303</v>
      </c>
      <c r="W1286" s="30"/>
      <c r="X1286" s="30"/>
      <c r="Y1286" s="494" t="s">
        <v>566</v>
      </c>
      <c r="Z1286" s="494" t="s">
        <v>318</v>
      </c>
      <c r="AA1286" s="30"/>
      <c r="AB1286" s="30"/>
      <c r="AC1286" s="505" t="s">
        <v>309</v>
      </c>
      <c r="AD1286" s="30"/>
      <c r="AE1286" s="30"/>
      <c r="AF1286" s="492" t="s">
        <v>305</v>
      </c>
      <c r="AG1286" s="492" t="s">
        <v>306</v>
      </c>
      <c r="AH1286" s="494" t="s">
        <v>304</v>
      </c>
      <c r="AI1286" s="504" t="s">
        <v>307</v>
      </c>
      <c r="AJ1286" s="504" t="s">
        <v>567</v>
      </c>
      <c r="AK1286" s="510" t="s">
        <v>311</v>
      </c>
      <c r="AL1286" s="342"/>
      <c r="AM1286" s="30"/>
      <c r="AN1286" s="492" t="s">
        <v>305</v>
      </c>
      <c r="AO1286" s="492" t="s">
        <v>306</v>
      </c>
      <c r="AP1286" s="511" t="s">
        <v>310</v>
      </c>
      <c r="AQ1286" s="504" t="s">
        <v>569</v>
      </c>
      <c r="AR1286" s="504" t="s">
        <v>568</v>
      </c>
      <c r="AS1286" s="510" t="s">
        <v>609</v>
      </c>
      <c r="AT1286" s="510" t="s">
        <v>609</v>
      </c>
      <c r="AU1286" s="30"/>
      <c r="AV1286" s="492"/>
      <c r="AW1286" s="492"/>
      <c r="AX1286" s="492" t="s">
        <v>321</v>
      </c>
      <c r="AY1286" s="492"/>
      <c r="AZ1286" s="492"/>
      <c r="BA1286" s="492"/>
      <c r="BB1286" s="492"/>
      <c r="BC1286" s="492"/>
      <c r="BD1286" s="492"/>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3" t="s">
        <v>262</v>
      </c>
    </row>
    <row r="1287" spans="1:78" s="142" customFormat="1" ht="12.75" hidden="1" customHeight="1" thickBot="1">
      <c r="A1287" s="808"/>
      <c r="B1287" s="166"/>
      <c r="C1287" s="777" t="s">
        <v>196</v>
      </c>
      <c r="D1287" s="512" t="str">
        <f>Translations!$B$622</f>
        <v>VD:</v>
      </c>
      <c r="E1287" s="513"/>
      <c r="F1287" s="402"/>
      <c r="G1287" s="1532" t="str">
        <f>IF(OR(ISBLANK(F1287),F1287=EUconst_NoTier),"",IF(Z1287=0,EUconst_NA,IF(ISERROR(Z1287),"",Z1287)))</f>
        <v/>
      </c>
      <c r="H1287" s="1533"/>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0"/>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0"/>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0"/>
      <c r="AV1287" s="492" t="s">
        <v>314</v>
      </c>
      <c r="AW1287" s="492" t="s">
        <v>319</v>
      </c>
      <c r="AX1287" s="524"/>
      <c r="AY1287" s="30" t="s">
        <v>542</v>
      </c>
      <c r="AZ1287" s="30"/>
      <c r="BA1287" s="30"/>
      <c r="BB1287" s="504"/>
      <c r="BC1287" s="493" t="str">
        <f>EUconst_Fuel</f>
        <v>Degimas</v>
      </c>
      <c r="BD1287" s="493" t="str">
        <f>EUconst_ProcessCarbonate</f>
        <v>Proceso metu išsiskiriančios ŠESD</v>
      </c>
      <c r="BE1287" s="493"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4" t="b">
        <f>BZ1282</f>
        <v>1</v>
      </c>
    </row>
    <row r="1288" spans="1:78" s="142" customFormat="1" ht="4.5" hidden="1" customHeight="1" thickBot="1">
      <c r="A1288" s="808"/>
      <c r="B1288" s="166"/>
      <c r="C1288" s="814"/>
      <c r="D1288" s="306"/>
      <c r="F1288" s="143"/>
      <c r="G1288" s="143"/>
      <c r="H1288" s="143" t="s">
        <v>236</v>
      </c>
      <c r="I1288" s="525"/>
      <c r="J1288" s="525"/>
      <c r="K1288" s="143"/>
      <c r="L1288" s="143"/>
      <c r="M1288" s="710"/>
      <c r="O1288" s="733"/>
      <c r="P1288" s="33"/>
      <c r="Q1288" s="33"/>
      <c r="R1288" s="33"/>
      <c r="S1288" s="30"/>
      <c r="T1288" s="155"/>
      <c r="U1288" s="497"/>
      <c r="V1288" s="30"/>
      <c r="W1288" s="30"/>
      <c r="X1288" s="497"/>
      <c r="Y1288" s="526"/>
      <c r="Z1288" s="30"/>
      <c r="AA1288" s="30"/>
      <c r="AB1288" s="30"/>
      <c r="AC1288" s="30"/>
      <c r="AD1288" s="30"/>
      <c r="AE1288" s="30"/>
      <c r="AF1288" s="30"/>
      <c r="AG1288" s="30"/>
      <c r="AH1288" s="30"/>
      <c r="AI1288" s="30"/>
      <c r="AJ1288" s="30"/>
      <c r="AK1288" s="30"/>
      <c r="AL1288" s="342"/>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3"/>
    </row>
    <row r="1289" spans="1:78" s="142" customFormat="1" ht="12.75" hidden="1" customHeight="1" thickBot="1">
      <c r="A1289" s="808"/>
      <c r="B1289" s="166"/>
      <c r="C1289" s="814" t="s">
        <v>197</v>
      </c>
      <c r="D1289" s="512" t="str">
        <f>Translations!$B$634</f>
        <v>(prelim.) ITF:</v>
      </c>
      <c r="E1289" s="513"/>
      <c r="F1289" s="527"/>
      <c r="G1289" s="1532" t="str">
        <f t="shared" ref="G1289:G1295" si="315">IF(OR(ISBLANK(F1289),F1289=EUconst_NoTier),"",IF(Z1289=0,EUconst_NotApplicable,IF(ISERROR(Z1289),"",Z1289)))</f>
        <v/>
      </c>
      <c r="H1289" s="1556"/>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3"/>
      <c r="Q1289" s="33"/>
      <c r="R1289" s="33"/>
      <c r="S1289" s="30"/>
      <c r="T1289" s="530" t="str">
        <f>EUconst_CNTR_EF&amp;E1278</f>
        <v>EF_</v>
      </c>
      <c r="U1289" s="497"/>
      <c r="V1289" s="531" t="str">
        <f>V1287</f>
        <v/>
      </c>
      <c r="W1289" s="30"/>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0"/>
      <c r="AC1289" s="535" t="b">
        <f>AND(AC1287,Y1289&lt;&gt;EUconst_NA)</f>
        <v>0</v>
      </c>
      <c r="AD1289" s="30"/>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0"/>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0"/>
      <c r="BA1289" s="30"/>
      <c r="BB1289" s="547" t="s">
        <v>594</v>
      </c>
      <c r="BC1289" s="546" t="str">
        <f>IF(K1277=BC1287,AR1287*IF(AJ1289=EUconst_tCO2pTJ,(AR1290/1000),1)*AR1289*AR1291*AR1295,"")</f>
        <v/>
      </c>
      <c r="BD1289" s="524" t="str">
        <f>IF(K1277=BD1287,AR1287*AR1289*AR1292*AR1295,"")</f>
        <v/>
      </c>
      <c r="BE1289" s="523"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1" t="b">
        <f>OR(BZ1287,Y1289=EUconst_NA)</f>
        <v>1</v>
      </c>
    </row>
    <row r="1290" spans="1:78" s="142" customFormat="1" ht="12.75" hidden="1" customHeight="1" thickBot="1">
      <c r="A1290" s="808"/>
      <c r="B1290" s="166"/>
      <c r="C1290" s="814" t="s">
        <v>198</v>
      </c>
      <c r="D1290" s="512" t="str">
        <f>Translations!$B$636</f>
        <v>GŠV:</v>
      </c>
      <c r="E1290" s="513"/>
      <c r="F1290" s="548"/>
      <c r="G1290" s="1532" t="str">
        <f t="shared" si="315"/>
        <v/>
      </c>
      <c r="H1290" s="1533"/>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3"/>
      <c r="Q1290" s="33"/>
      <c r="R1290" s="33"/>
      <c r="S1290" s="30"/>
      <c r="T1290" s="552" t="str">
        <f>EUconst_CNTR_NCV&amp;E1278</f>
        <v>NCV_</v>
      </c>
      <c r="U1290" s="497"/>
      <c r="V1290" s="553" t="str">
        <f t="shared" ref="V1290:V1295" si="321">V1289</f>
        <v/>
      </c>
      <c r="W1290" s="30"/>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0"/>
      <c r="AC1290" s="557" t="b">
        <f>AND(AC1287,Y1290&lt;&gt;EUconst_NA)</f>
        <v>0</v>
      </c>
      <c r="AD1290" s="30"/>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0"/>
      <c r="AV1290" s="567" t="b">
        <f t="shared" si="318"/>
        <v>0</v>
      </c>
      <c r="AW1290" s="568" t="b">
        <f t="shared" si="319"/>
        <v>0</v>
      </c>
      <c r="AX1290" s="30"/>
      <c r="AY1290" s="553" t="b">
        <f t="shared" si="320"/>
        <v>0</v>
      </c>
      <c r="AZ1290" s="30"/>
      <c r="BA1290" s="30"/>
      <c r="BB1290" s="547" t="s">
        <v>595</v>
      </c>
      <c r="BC1290" s="546" t="str">
        <f>IF(K1277=BC1287,AR1287*IF(AJ1289=EUconst_tCO2pTJ,(AR1290/1000),1)*AR1289*AR1291*AR1294,"")</f>
        <v/>
      </c>
      <c r="BD1290" s="524" t="str">
        <f>IF(K1277=BD1287,AR1287*AR1289*AR1292*AR1294,"")</f>
        <v/>
      </c>
      <c r="BE1290" s="523"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3" t="b">
        <f>OR(BZ1287,Y1290=EUconst_NA)</f>
        <v>1</v>
      </c>
    </row>
    <row r="1291" spans="1:78" s="142" customFormat="1" ht="12.75" hidden="1" customHeight="1" thickBot="1">
      <c r="A1291" s="808"/>
      <c r="B1291" s="166"/>
      <c r="C1291" s="814" t="s">
        <v>199</v>
      </c>
      <c r="D1291" s="512" t="str">
        <f>Translations!$B$638</f>
        <v>OksK:</v>
      </c>
      <c r="E1291" s="513"/>
      <c r="F1291" s="548"/>
      <c r="G1291" s="1532" t="str">
        <f t="shared" si="315"/>
        <v/>
      </c>
      <c r="H1291" s="1533"/>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3"/>
      <c r="Q1291" s="33"/>
      <c r="R1291" s="33"/>
      <c r="S1291" s="30"/>
      <c r="T1291" s="552" t="str">
        <f>EUconst_CNTR_OxidationFactor&amp;E1278</f>
        <v>OxF_</v>
      </c>
      <c r="U1291" s="497"/>
      <c r="V1291" s="553" t="str">
        <f t="shared" si="321"/>
        <v/>
      </c>
      <c r="W1291" s="30"/>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0"/>
      <c r="AC1291" s="557" t="b">
        <f>AND(AC1287,Y1291&lt;&gt;EUconst_NA)</f>
        <v>0</v>
      </c>
      <c r="AD1291" s="30"/>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0"/>
      <c r="AV1291" s="567" t="b">
        <f t="shared" si="318"/>
        <v>0</v>
      </c>
      <c r="AW1291" s="568" t="b">
        <f t="shared" si="319"/>
        <v>0</v>
      </c>
      <c r="AX1291" s="30"/>
      <c r="AY1291" s="594" t="b">
        <f t="shared" si="320"/>
        <v>0</v>
      </c>
      <c r="AZ1291" s="531" t="b">
        <f>AR1291&gt;100%</f>
        <v>0</v>
      </c>
      <c r="BA1291" s="30"/>
      <c r="BB1291" s="547" t="s">
        <v>290</v>
      </c>
      <c r="BC1291" s="546" t="str">
        <f>IF(K1277=BC1287,AR1287*IF(AJ1289=EUconst_tCO2pTJ,(AR1290/1000),1)*AR1289*AR1291*(1-AR1294),"")</f>
        <v/>
      </c>
      <c r="BD1291" s="524" t="str">
        <f>IF(K1277=BD1287,AR1287*AR1289*AR1292*(1-AR1294),"")</f>
        <v/>
      </c>
      <c r="BE1291" s="523"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3" t="b">
        <f>OR(BZ1287,Y1291=EUconst_NA)</f>
        <v>1</v>
      </c>
    </row>
    <row r="1292" spans="1:78" s="142" customFormat="1" ht="12.75" hidden="1" customHeight="1" thickBot="1">
      <c r="A1292" s="808"/>
      <c r="B1292" s="166"/>
      <c r="C1292" s="814" t="s">
        <v>200</v>
      </c>
      <c r="D1292" s="512" t="str">
        <f>Translations!$B$639</f>
        <v>KonvK:</v>
      </c>
      <c r="E1292" s="513"/>
      <c r="F1292" s="548"/>
      <c r="G1292" s="1532" t="str">
        <f t="shared" si="315"/>
        <v/>
      </c>
      <c r="H1292" s="1533"/>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3"/>
      <c r="Q1292" s="33"/>
      <c r="R1292" s="33"/>
      <c r="S1292" s="30"/>
      <c r="T1292" s="552" t="str">
        <f>EUconst_CNTR_ConversionFactor&amp;E1278</f>
        <v>ConvF_</v>
      </c>
      <c r="U1292" s="497"/>
      <c r="V1292" s="553" t="str">
        <f t="shared" si="321"/>
        <v/>
      </c>
      <c r="W1292" s="30"/>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0"/>
      <c r="AC1292" s="557" t="b">
        <f>AND(AC1287,Y1292&lt;&gt;EUconst_NA)</f>
        <v>0</v>
      </c>
      <c r="AD1292" s="30"/>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0"/>
      <c r="AV1292" s="567" t="b">
        <f t="shared" si="318"/>
        <v>0</v>
      </c>
      <c r="AW1292" s="568" t="b">
        <f t="shared" si="319"/>
        <v>0</v>
      </c>
      <c r="AX1292" s="30"/>
      <c r="AY1292" s="594" t="b">
        <f t="shared" si="320"/>
        <v>0</v>
      </c>
      <c r="AZ1292" s="580" t="b">
        <f>AR1292&gt;100%</f>
        <v>0</v>
      </c>
      <c r="BA1292" s="30"/>
      <c r="BB1292" s="578" t="s">
        <v>487</v>
      </c>
      <c r="BC1292" s="579">
        <f>AR1287*AR1290/1000*(1-AR1294)</f>
        <v>0</v>
      </c>
      <c r="BD1292" s="580">
        <f>BC1292</f>
        <v>0</v>
      </c>
      <c r="BE1292" s="581">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3" t="b">
        <f>OR(BZ1287,Y1292=EUconst_NA)</f>
        <v>1</v>
      </c>
    </row>
    <row r="1293" spans="1:78" s="142" customFormat="1" ht="12.75" hidden="1" customHeight="1" thickBot="1">
      <c r="A1293" s="808"/>
      <c r="B1293" s="166"/>
      <c r="C1293" s="814" t="s">
        <v>329</v>
      </c>
      <c r="D1293" s="512" t="str">
        <f>Translations!$B$640</f>
        <v>AnglK:</v>
      </c>
      <c r="E1293" s="513"/>
      <c r="F1293" s="548"/>
      <c r="G1293" s="1532" t="str">
        <f t="shared" si="315"/>
        <v/>
      </c>
      <c r="H1293" s="1533"/>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3"/>
      <c r="Q1293" s="33"/>
      <c r="R1293" s="33"/>
      <c r="S1293" s="30"/>
      <c r="T1293" s="552" t="str">
        <f>EUconst_CNTR_CarbonContent&amp;E1278</f>
        <v>CarbC_</v>
      </c>
      <c r="U1293" s="497"/>
      <c r="V1293" s="553" t="str">
        <f t="shared" si="321"/>
        <v/>
      </c>
      <c r="W1293" s="30"/>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0"/>
      <c r="AC1293" s="557" t="b">
        <f>AND(AC1287,Y1293&lt;&gt;EUconst_NA)</f>
        <v>0</v>
      </c>
      <c r="AD1293" s="30"/>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0"/>
      <c r="AV1293" s="567" t="b">
        <f t="shared" si="318"/>
        <v>0</v>
      </c>
      <c r="AW1293" s="568" t="b">
        <f t="shared" si="319"/>
        <v>0</v>
      </c>
      <c r="AX1293" s="546" t="b">
        <f>OR(AND(AJ1287=EUconst_kNm3,AJ1293=EUconst_tCpt),AND(AJ1287=EUconst_t,AJ1293=EUconst_tCpkNm3))</f>
        <v>0</v>
      </c>
      <c r="AY1293" s="553" t="b">
        <f t="shared" si="320"/>
        <v>0</v>
      </c>
      <c r="AZ1293" s="30"/>
      <c r="BA1293" s="30"/>
      <c r="BB1293" s="578" t="s">
        <v>488</v>
      </c>
      <c r="BC1293" s="579">
        <f>AR1287*AR1290/1000*AR1294</f>
        <v>0</v>
      </c>
      <c r="BD1293" s="580">
        <f>BC1293</f>
        <v>0</v>
      </c>
      <c r="BE1293" s="581">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3" t="b">
        <f>OR(BZ1287,Y1293=EUconst_NA)</f>
        <v>1</v>
      </c>
    </row>
    <row r="1294" spans="1:78" s="142" customFormat="1" ht="12.75" hidden="1" customHeight="1" thickBot="1">
      <c r="A1294" s="808"/>
      <c r="B1294" s="166"/>
      <c r="C1294" s="777" t="s">
        <v>330</v>
      </c>
      <c r="D1294" s="512" t="str">
        <f>Translations!$B$641</f>
        <v>BioC:</v>
      </c>
      <c r="E1294" s="513"/>
      <c r="F1294" s="548"/>
      <c r="G1294" s="1532" t="str">
        <f t="shared" si="315"/>
        <v/>
      </c>
      <c r="H1294" s="1533"/>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0"/>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0"/>
      <c r="AC1294" s="557" t="b">
        <f>AND(AC1287,Y1294&lt;&gt;EUconst_NA)</f>
        <v>0</v>
      </c>
      <c r="AD1294" s="30"/>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0"/>
      <c r="AV1294" s="567" t="b">
        <f t="shared" si="318"/>
        <v>0</v>
      </c>
      <c r="AW1294" s="568" t="b">
        <f t="shared" si="319"/>
        <v>0</v>
      </c>
      <c r="AX1294" s="30"/>
      <c r="AY1294" s="594" t="b">
        <f t="shared" si="320"/>
        <v>0</v>
      </c>
      <c r="AZ1294" s="531"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3" t="b">
        <f>OR(BZ1287,Y1294=EUconst_NA)</f>
        <v>1</v>
      </c>
    </row>
    <row r="1295" spans="1:78" s="142" customFormat="1" ht="12.75" hidden="1" customHeight="1" thickBot="1">
      <c r="A1295" s="808"/>
      <c r="B1295" s="166"/>
      <c r="C1295" s="777" t="s">
        <v>454</v>
      </c>
      <c r="D1295" s="512" t="str">
        <f>Translations!$B$647</f>
        <v>Netvar. BioC:</v>
      </c>
      <c r="E1295" s="513"/>
      <c r="F1295" s="597"/>
      <c r="G1295" s="1532" t="str">
        <f t="shared" si="315"/>
        <v/>
      </c>
      <c r="H1295" s="1533"/>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0"/>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0"/>
      <c r="AC1295" s="603" t="b">
        <f>AND(AC1287,Y1295&lt;&gt;EUconst_NA)</f>
        <v>0</v>
      </c>
      <c r="AD1295" s="30"/>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0"/>
      <c r="AV1295" s="613" t="b">
        <f t="shared" si="318"/>
        <v>0</v>
      </c>
      <c r="AW1295" s="614" t="b">
        <f t="shared" si="319"/>
        <v>0</v>
      </c>
      <c r="AX1295" s="30"/>
      <c r="AY1295" s="579" t="b">
        <f t="shared" si="320"/>
        <v>0</v>
      </c>
      <c r="AZ1295" s="580"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80" t="b">
        <f>OR(BZ1287,Y1295=EUconst_NA)</f>
        <v>1</v>
      </c>
    </row>
    <row r="1296" spans="1:78" s="142" customFormat="1" ht="5.0999999999999996" hidden="1" customHeight="1" thickBot="1">
      <c r="A1296" s="808"/>
      <c r="B1296" s="166"/>
      <c r="C1296" s="166"/>
      <c r="D1296" s="180"/>
      <c r="O1296" s="733"/>
      <c r="P1296" s="33"/>
      <c r="Q1296" s="33"/>
      <c r="R1296" s="33"/>
      <c r="S1296" s="174"/>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hidden="1" customHeight="1" thickBot="1">
      <c r="A1297" s="808"/>
      <c r="B1297" s="166"/>
      <c r="C1297" s="166"/>
      <c r="D1297" s="1558" t="str">
        <f>Translations!$B$674</f>
        <v>Pakopos galioja nuo:</v>
      </c>
      <c r="E1297" s="1558"/>
      <c r="F1297" s="1559"/>
      <c r="G1297" s="1052"/>
      <c r="H1297" s="615" t="str">
        <f>Translations!$B$675</f>
        <v>iki:</v>
      </c>
      <c r="I1297" s="1052"/>
      <c r="J1297" s="1536" t="str">
        <f>Translations!$B$676</f>
        <v>Atliekų katalogo numeris (jeigu taikytina):</v>
      </c>
      <c r="K1297" s="1537"/>
      <c r="L1297" s="1537"/>
      <c r="M1297" s="1538"/>
      <c r="N1297" s="1289"/>
      <c r="O1297" s="733"/>
      <c r="P1297" s="33"/>
      <c r="Q1297" s="33"/>
      <c r="R1297" s="33"/>
      <c r="S1297" s="1290"/>
      <c r="T1297" s="492"/>
      <c r="U1297" s="492"/>
      <c r="V1297" s="48" t="b">
        <f>IF(V1287="",FALSE,INDEX(CNTR_IsWaste,MATCH(V1287,MSParameters!$A$218:$A$376,0)))</f>
        <v>0</v>
      </c>
      <c r="W1297" s="1290"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hidden="1" customHeight="1" thickBot="1">
      <c r="A1298" s="808"/>
      <c r="B1298" s="166"/>
      <c r="C1298" s="166"/>
      <c r="D1298" s="615"/>
      <c r="E1298" s="495"/>
      <c r="F1298" s="495"/>
      <c r="G1298" s="495"/>
      <c r="H1298" s="495"/>
      <c r="I1298" s="495"/>
      <c r="J1298" s="495"/>
      <c r="K1298" s="495"/>
      <c r="L1298" s="495"/>
      <c r="M1298" s="495"/>
      <c r="N1298" s="495"/>
      <c r="O1298" s="733"/>
      <c r="P1298" s="33"/>
      <c r="Q1298" s="33"/>
      <c r="R1298" s="33"/>
      <c r="S1298" s="174"/>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hidden="1" customHeight="1" thickBot="1">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3"/>
      <c r="Q1299" s="33"/>
      <c r="R1299" s="33"/>
      <c r="S1299" s="174"/>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4.5" hidden="1" customHeight="1" thickBot="1">
      <c r="A1300" s="815"/>
      <c r="D1300" s="180"/>
      <c r="O1300" s="573"/>
      <c r="P1300" s="497"/>
      <c r="Q1300" s="497"/>
      <c r="R1300" s="497"/>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ht="13.5" hidden="1" thickBot="1">
      <c r="A1301" s="815"/>
      <c r="D1301" s="1534" t="str">
        <f>Translations!$B$160</f>
        <v>Pastabos:</v>
      </c>
      <c r="E1301" s="1535"/>
      <c r="F1301" s="1539"/>
      <c r="G1301" s="1540"/>
      <c r="H1301" s="1540"/>
      <c r="I1301" s="1540"/>
      <c r="J1301" s="1540"/>
      <c r="K1301" s="1540"/>
      <c r="L1301" s="1540"/>
      <c r="M1301" s="1540"/>
      <c r="N1301" s="1541"/>
      <c r="O1301" s="573"/>
      <c r="P1301" s="497"/>
      <c r="Q1301" s="497"/>
      <c r="R1301" s="497"/>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c r="A1302" s="808"/>
      <c r="B1302" s="495"/>
      <c r="C1302" s="499"/>
      <c r="D1302" s="500"/>
      <c r="E1302" s="501"/>
      <c r="F1302" s="499"/>
      <c r="G1302" s="502"/>
      <c r="H1302" s="502"/>
      <c r="I1302" s="502"/>
      <c r="J1302" s="502"/>
      <c r="K1302" s="502"/>
      <c r="L1302" s="502"/>
      <c r="M1302" s="502"/>
      <c r="N1302" s="502"/>
      <c r="O1302" s="740"/>
      <c r="P1302" s="494"/>
      <c r="Q1302" s="494"/>
      <c r="R1302" s="494"/>
      <c r="S1302" s="58"/>
      <c r="T1302" s="58"/>
      <c r="U1302" s="498"/>
      <c r="V1302" s="58"/>
      <c r="W1302" s="58"/>
      <c r="X1302" s="498"/>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4.5" hidden="1" customHeight="1" thickBot="1">
      <c r="A1303" s="813"/>
      <c r="B1303" s="495"/>
      <c r="C1303" s="495"/>
      <c r="D1303" s="180"/>
      <c r="E1303" s="496"/>
      <c r="F1303" s="495"/>
      <c r="G1303" s="487"/>
      <c r="H1303" s="487"/>
      <c r="I1303" s="487"/>
      <c r="J1303" s="487"/>
      <c r="K1303" s="495"/>
      <c r="L1303" s="487"/>
      <c r="M1303" s="487"/>
      <c r="N1303" s="487"/>
      <c r="O1303" s="740"/>
      <c r="P1303" s="494"/>
      <c r="Q1303" s="494"/>
      <c r="R1303" s="494"/>
      <c r="S1303" s="23"/>
      <c r="T1303" s="27" t="str">
        <f>IF(ISBLANK(E1304),"",MATCH(E1304,CNTR_SourceStreamNames,0))</f>
        <v/>
      </c>
      <c r="U1303" s="618"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1"/>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3" t="s">
        <v>262</v>
      </c>
    </row>
    <row r="1304" spans="1:78" s="142" customFormat="1" ht="15" hidden="1" customHeight="1" thickBot="1">
      <c r="A1304" s="869" t="str">
        <f>IF(E1304="","","PRINT")</f>
        <v/>
      </c>
      <c r="B1304" s="166"/>
      <c r="C1304" s="617">
        <f>C1277+1</f>
        <v>47</v>
      </c>
      <c r="D1304" s="166"/>
      <c r="E1304" s="1542"/>
      <c r="F1304" s="1543"/>
      <c r="G1304" s="1543"/>
      <c r="H1304" s="1543"/>
      <c r="I1304" s="1543"/>
      <c r="J1304" s="1544"/>
      <c r="K1304" s="1545" t="str">
        <f>IF(E1305="","",INDEX(EUwideConstants!$F$353:$F$394,MATCH(E1305,EUConst_TierActivityListNames,0)))</f>
        <v/>
      </c>
      <c r="L1304" s="1546"/>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3"/>
      <c r="T1304" s="509" t="s">
        <v>393</v>
      </c>
      <c r="U1304" s="23"/>
      <c r="V1304" s="78"/>
      <c r="W1304" s="56"/>
      <c r="X1304" s="58"/>
      <c r="Y1304" s="58"/>
      <c r="Z1304" s="58"/>
      <c r="AA1304" s="58"/>
      <c r="AB1304" s="58"/>
      <c r="AC1304" s="58"/>
      <c r="AD1304" s="58"/>
      <c r="AE1304" s="58"/>
      <c r="AF1304" s="58"/>
      <c r="AG1304" s="58"/>
      <c r="AH1304" s="58"/>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6"/>
      <c r="BZ1304" s="619" t="b">
        <f>CNTR_CalcRelevant=EUconst_NotRelevant</f>
        <v>0</v>
      </c>
    </row>
    <row r="1305" spans="1:78" s="142" customFormat="1" ht="15" hidden="1" customHeight="1" thickBot="1">
      <c r="A1305" s="808"/>
      <c r="B1305" s="166"/>
      <c r="C1305" s="166"/>
      <c r="D1305" s="166"/>
      <c r="E1305" s="1547" t="str">
        <f>IF(ISBLANK(E1304),"",IF(INDEX(B_InstallationDescription!$E$71:$E$145,MATCH(U1303,B_InstallationDescription!$D$71:$D$145,0))&gt;0,INDEX(B_InstallationDescription!$E$71:$E$145,MATCH(U1303,B_InstallationDescription!$D$71:$D$145,0)),""))</f>
        <v/>
      </c>
      <c r="F1305" s="1548"/>
      <c r="G1305" s="1548"/>
      <c r="H1305" s="1548"/>
      <c r="I1305" s="1548"/>
      <c r="J1305" s="1549"/>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4"/>
      <c r="AH1305" s="30"/>
      <c r="AI1305" s="30"/>
      <c r="AJ1305" s="504"/>
      <c r="AK1305" s="504"/>
      <c r="AL1305" s="342"/>
      <c r="AM1305" s="27" t="s">
        <v>308</v>
      </c>
      <c r="AN1305" s="505"/>
      <c r="AO1305" s="505"/>
      <c r="AP1305" s="30"/>
      <c r="AQ1305" s="30"/>
      <c r="AR1305" s="30"/>
      <c r="AS1305" s="30"/>
      <c r="AT1305" s="30"/>
      <c r="AU1305" s="30"/>
      <c r="AV1305" s="27" t="s">
        <v>315</v>
      </c>
      <c r="AW1305" s="30"/>
      <c r="AX1305" s="492"/>
      <c r="AY1305" s="30"/>
      <c r="AZ1305" s="30"/>
      <c r="BA1305" s="30"/>
      <c r="BB1305" s="27" t="s">
        <v>219</v>
      </c>
      <c r="BC1305" s="30"/>
      <c r="BD1305" s="30"/>
      <c r="BE1305" s="30"/>
      <c r="BF1305" s="30"/>
      <c r="BG1305" s="27"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0"/>
      <c r="BZ1305" s="30"/>
    </row>
    <row r="1306" spans="1:78" s="142" customFormat="1" ht="4.5" hidden="1" customHeight="1">
      <c r="A1306" s="808"/>
      <c r="B1306" s="166"/>
      <c r="C1306" s="166"/>
      <c r="D1306" s="166"/>
      <c r="E1306" s="166"/>
      <c r="F1306" s="166"/>
      <c r="G1306" s="166"/>
      <c r="M1306" s="143"/>
      <c r="N1306" s="143"/>
      <c r="O1306" s="733"/>
      <c r="P1306" s="33"/>
      <c r="Q1306" s="33"/>
      <c r="R1306" s="33"/>
      <c r="S1306" s="23"/>
      <c r="T1306" s="23"/>
      <c r="U1306" s="23"/>
      <c r="V1306" s="78"/>
      <c r="W1306" s="30"/>
      <c r="X1306" s="30"/>
      <c r="Y1306" s="494"/>
      <c r="Z1306" s="30"/>
      <c r="AA1306" s="30"/>
      <c r="AB1306" s="30"/>
      <c r="AC1306" s="30"/>
      <c r="AD1306" s="30"/>
      <c r="AE1306" s="30"/>
      <c r="AF1306" s="58"/>
      <c r="AG1306" s="30"/>
      <c r="AH1306" s="30"/>
      <c r="AI1306" s="30"/>
      <c r="AJ1306" s="504"/>
      <c r="AK1306" s="504"/>
      <c r="AL1306" s="342"/>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hidden="1" customHeight="1" thickBot="1">
      <c r="A1307" s="808"/>
      <c r="B1307" s="166"/>
      <c r="C1307" s="166"/>
      <c r="D1307" s="166"/>
      <c r="E1307" s="1550" t="str">
        <f>IF(E1304="","",IF(T1305=TRUE,HYPERLINK("#JUMP_14",EUconst_MsgGoOnPFC),HYPERLINK("#JUMP_E_8",EUconst_FurtherGuidancePoint1)))</f>
        <v/>
      </c>
      <c r="F1307" s="1550"/>
      <c r="G1307" s="1550"/>
      <c r="H1307" s="1550"/>
      <c r="I1307" s="1550"/>
      <c r="J1307" s="1550"/>
      <c r="K1307" s="1550"/>
      <c r="L1307" s="1550"/>
      <c r="M1307" s="1550"/>
      <c r="N1307" s="143"/>
      <c r="O1307" s="733"/>
      <c r="P1307" s="33"/>
      <c r="Q1307" s="352" t="str">
        <f>EUconst_SumNonSustBioCO2 &amp; "_" &amp; K1304</f>
        <v>SUM_bioNonSustCO2_</v>
      </c>
      <c r="R1307" s="707"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4"/>
      <c r="AK1307" s="504"/>
      <c r="AL1307" s="342"/>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4.5" hidden="1" customHeight="1">
      <c r="A1308" s="808"/>
      <c r="B1308" s="166"/>
      <c r="C1308" s="166"/>
      <c r="D1308" s="166"/>
      <c r="E1308" s="166"/>
      <c r="F1308" s="166"/>
      <c r="G1308" s="166"/>
      <c r="M1308" s="143"/>
      <c r="N1308" s="143"/>
      <c r="O1308" s="733"/>
      <c r="P1308" s="23"/>
      <c r="Q1308" s="23"/>
      <c r="R1308" s="23"/>
      <c r="S1308" s="23"/>
      <c r="T1308" s="23"/>
      <c r="U1308" s="23"/>
      <c r="V1308" s="30"/>
      <c r="W1308" s="30"/>
      <c r="X1308" s="30"/>
      <c r="Y1308" s="494"/>
      <c r="Z1308" s="30"/>
      <c r="AA1308" s="30"/>
      <c r="AB1308" s="30"/>
      <c r="AC1308" s="30"/>
      <c r="AD1308" s="30"/>
      <c r="AE1308" s="30"/>
      <c r="AF1308" s="58"/>
      <c r="AG1308" s="30"/>
      <c r="AH1308" s="30"/>
      <c r="AI1308" s="30"/>
      <c r="AJ1308" s="504"/>
      <c r="AK1308" s="504"/>
      <c r="AL1308" s="342"/>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hidden="1" customHeight="1" thickBot="1">
      <c r="A1309" s="808"/>
      <c r="B1309" s="166"/>
      <c r="C1309" s="814" t="s">
        <v>4</v>
      </c>
      <c r="D1309" s="512" t="str">
        <f>Translations!$B$622</f>
        <v>VD:</v>
      </c>
      <c r="E1309" s="1560" t="str">
        <f>Translations!$B$667</f>
        <v>Ar veiklos duomenys gaunami sudedant išmatuotus kiekius (t. y. ne atliekant nuolatinius matavimus)?</v>
      </c>
      <c r="F1309" s="1560"/>
      <c r="G1309" s="1560"/>
      <c r="H1309" s="1560"/>
      <c r="I1309" s="1560"/>
      <c r="J1309" s="1560"/>
      <c r="K1309" s="1560"/>
      <c r="L1309" s="1179"/>
      <c r="M1309" s="507"/>
      <c r="O1309" s="733"/>
      <c r="P1309" s="23"/>
      <c r="Q1309" s="23"/>
      <c r="R1309" s="23"/>
      <c r="S1309" s="23"/>
      <c r="T1309" s="23"/>
      <c r="U1309" s="23"/>
      <c r="V1309" s="30"/>
      <c r="W1309" s="30"/>
      <c r="X1309" s="30"/>
      <c r="Y1309" s="494"/>
      <c r="Z1309" s="30"/>
      <c r="AA1309" s="30"/>
      <c r="AB1309" s="30"/>
      <c r="AC1309" s="1172" t="b">
        <f>AND(E1304&lt;&gt;"",T1305&lt;&gt;TRUE)</f>
        <v>0</v>
      </c>
      <c r="AD1309" s="30"/>
      <c r="AE1309" s="30"/>
      <c r="AF1309" s="58"/>
      <c r="AG1309" s="30"/>
      <c r="AH1309" s="30"/>
      <c r="AI1309" s="30"/>
      <c r="AJ1309" s="504"/>
      <c r="AK1309" s="504"/>
      <c r="AL1309" s="342"/>
      <c r="AM1309" s="30"/>
      <c r="AN1309" s="30"/>
      <c r="AO1309" s="30"/>
      <c r="AP1309" s="30"/>
      <c r="AQ1309" s="30"/>
      <c r="AR1309" s="30"/>
      <c r="AS1309" s="30"/>
      <c r="AT1309" s="1172"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2" t="b">
        <f>OR(CNTR_CalcRelevant=EUconst_NotRelevant,AND(COUNTA(CNTR_ListRelevantSections)&gt;0,OR(T1305=TRUE,E1304="")))</f>
        <v>1</v>
      </c>
    </row>
    <row r="1310" spans="1:78" s="142" customFormat="1" ht="5.0999999999999996" hidden="1" customHeight="1">
      <c r="A1310" s="808"/>
      <c r="B1310" s="166"/>
      <c r="C1310" s="166"/>
      <c r="D1310" s="166"/>
      <c r="E1310" s="166"/>
      <c r="F1310" s="166"/>
      <c r="G1310" s="166"/>
      <c r="H1310" s="495"/>
      <c r="I1310" s="495"/>
      <c r="J1310" s="495"/>
      <c r="K1310" s="495"/>
      <c r="L1310" s="495"/>
      <c r="M1310" s="507"/>
      <c r="O1310" s="733"/>
      <c r="P1310" s="23"/>
      <c r="Q1310" s="23"/>
      <c r="R1310" s="23"/>
      <c r="S1310" s="23"/>
      <c r="T1310" s="23"/>
      <c r="U1310" s="23"/>
      <c r="V1310" s="30"/>
      <c r="W1310" s="30"/>
      <c r="X1310" s="30"/>
      <c r="Y1310" s="494"/>
      <c r="Z1310" s="30"/>
      <c r="AA1310" s="30"/>
      <c r="AB1310" s="30"/>
      <c r="AC1310" s="492"/>
      <c r="AD1310" s="30"/>
      <c r="AE1310" s="30"/>
      <c r="AF1310" s="58"/>
      <c r="AG1310" s="30"/>
      <c r="AH1310" s="30"/>
      <c r="AI1310" s="30"/>
      <c r="AJ1310" s="504"/>
      <c r="AK1310" s="504"/>
      <c r="AL1310" s="342"/>
      <c r="AM1310" s="30"/>
      <c r="AN1310" s="30"/>
      <c r="AO1310" s="30"/>
      <c r="AP1310" s="30"/>
      <c r="AQ1310" s="30"/>
      <c r="AR1310" s="30"/>
      <c r="AS1310" s="30"/>
      <c r="AT1310" s="492"/>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2"/>
    </row>
    <row r="1311" spans="1:78" s="142" customFormat="1" ht="12.75" hidden="1" customHeight="1" thickBot="1">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3"/>
      <c r="Q1311" s="23"/>
      <c r="R1311" s="23"/>
      <c r="S1311" s="23"/>
      <c r="T1311" s="23"/>
      <c r="U1311" s="23"/>
      <c r="V1311" s="30"/>
      <c r="W1311" s="30"/>
      <c r="X1311" s="30"/>
      <c r="Y1311" s="494"/>
      <c r="Z1311" s="30"/>
      <c r="AA1311" s="30"/>
      <c r="AB1311" s="30"/>
      <c r="AC1311" s="1172" t="b">
        <f>AC1309</f>
        <v>0</v>
      </c>
      <c r="AD1311" s="30"/>
      <c r="AE1311" s="30"/>
      <c r="AF1311" s="58"/>
      <c r="AG1311" s="30"/>
      <c r="AH1311" s="30"/>
      <c r="AI1311" s="30"/>
      <c r="AJ1311" s="504"/>
      <c r="AK1311" s="504"/>
      <c r="AL1311" s="342"/>
      <c r="AM1311" s="30"/>
      <c r="AN1311" s="30"/>
      <c r="AO1311" s="30"/>
      <c r="AP1311" s="30"/>
      <c r="AQ1311" s="30"/>
      <c r="AR1311" s="30"/>
      <c r="AS1311" s="30"/>
      <c r="AT1311" s="1172"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2" t="b">
        <f>OR(BZ1309,AND(NOT(ISBLANK(L1309)),L1309=FALSE))</f>
        <v>1</v>
      </c>
    </row>
    <row r="1312" spans="1:78" s="142" customFormat="1" ht="4.5" hidden="1" customHeight="1">
      <c r="A1312" s="808"/>
      <c r="B1312" s="166"/>
      <c r="C1312" s="166"/>
      <c r="D1312" s="166"/>
      <c r="E1312" s="166"/>
      <c r="F1312" s="166"/>
      <c r="G1312" s="166"/>
      <c r="M1312" s="143"/>
      <c r="N1312" s="143"/>
      <c r="O1312" s="733"/>
      <c r="P1312" s="23"/>
      <c r="Q1312" s="23"/>
      <c r="R1312" s="23"/>
      <c r="S1312" s="23"/>
      <c r="T1312" s="23"/>
      <c r="U1312" s="23"/>
      <c r="V1312" s="30"/>
      <c r="W1312" s="30"/>
      <c r="X1312" s="30"/>
      <c r="Y1312" s="494"/>
      <c r="Z1312" s="30"/>
      <c r="AA1312" s="30"/>
      <c r="AB1312" s="30"/>
      <c r="AC1312" s="30"/>
      <c r="AD1312" s="30"/>
      <c r="AE1312" s="30"/>
      <c r="AF1312" s="58"/>
      <c r="AG1312" s="30"/>
      <c r="AH1312" s="30"/>
      <c r="AI1312" s="30"/>
      <c r="AJ1312" s="504"/>
      <c r="AK1312" s="504"/>
      <c r="AL1312" s="342"/>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hidden="1" customHeight="1" thickBot="1">
      <c r="A1313" s="808"/>
      <c r="B1313" s="166"/>
      <c r="C1313" s="166"/>
      <c r="D1313" s="166"/>
      <c r="E1313" s="166"/>
      <c r="F1313" s="506" t="str">
        <f>Translations!$B$333</f>
        <v>Pakopa</v>
      </c>
      <c r="G1313" s="1557" t="str">
        <f>Translations!$B$672</f>
        <v>pakopos aprašas</v>
      </c>
      <c r="H1313" s="1557"/>
      <c r="I1313" s="1555" t="str">
        <f>Translations!$B$158</f>
        <v>Vienetas</v>
      </c>
      <c r="J1313" s="1555"/>
      <c r="K1313" s="1555" t="str">
        <f>Translations!$B$673</f>
        <v>Vertė</v>
      </c>
      <c r="L1313" s="1555"/>
      <c r="M1313" s="507" t="str">
        <f>Translations!$B$610</f>
        <v>klaida</v>
      </c>
      <c r="O1313" s="733"/>
      <c r="P1313" s="508"/>
      <c r="Q1313" s="352" t="str">
        <f>EUconst_SumEnergyIN &amp; "_" &amp; K1304</f>
        <v>SUM_EnergyIN_</v>
      </c>
      <c r="R1313" s="399" t="str">
        <f>IF(OR(K1304="",T1305)=TRUE,"",INDEX(BC1319:BE1319,MATCH(K1304,BC1314:BE1314,0)))</f>
        <v/>
      </c>
      <c r="S1313" s="30"/>
      <c r="T1313" s="489"/>
      <c r="U1313" s="30"/>
      <c r="V1313" s="509" t="s">
        <v>303</v>
      </c>
      <c r="W1313" s="30"/>
      <c r="X1313" s="30"/>
      <c r="Y1313" s="494" t="s">
        <v>566</v>
      </c>
      <c r="Z1313" s="494" t="s">
        <v>318</v>
      </c>
      <c r="AA1313" s="30"/>
      <c r="AB1313" s="30"/>
      <c r="AC1313" s="505" t="s">
        <v>309</v>
      </c>
      <c r="AD1313" s="30"/>
      <c r="AE1313" s="30"/>
      <c r="AF1313" s="492" t="s">
        <v>305</v>
      </c>
      <c r="AG1313" s="492" t="s">
        <v>306</v>
      </c>
      <c r="AH1313" s="494" t="s">
        <v>304</v>
      </c>
      <c r="AI1313" s="504" t="s">
        <v>307</v>
      </c>
      <c r="AJ1313" s="504" t="s">
        <v>567</v>
      </c>
      <c r="AK1313" s="510" t="s">
        <v>311</v>
      </c>
      <c r="AL1313" s="342"/>
      <c r="AM1313" s="30"/>
      <c r="AN1313" s="492" t="s">
        <v>305</v>
      </c>
      <c r="AO1313" s="492" t="s">
        <v>306</v>
      </c>
      <c r="AP1313" s="511" t="s">
        <v>310</v>
      </c>
      <c r="AQ1313" s="504" t="s">
        <v>569</v>
      </c>
      <c r="AR1313" s="504" t="s">
        <v>568</v>
      </c>
      <c r="AS1313" s="510" t="s">
        <v>609</v>
      </c>
      <c r="AT1313" s="510" t="s">
        <v>609</v>
      </c>
      <c r="AU1313" s="30"/>
      <c r="AV1313" s="492"/>
      <c r="AW1313" s="492"/>
      <c r="AX1313" s="492" t="s">
        <v>321</v>
      </c>
      <c r="AY1313" s="492"/>
      <c r="AZ1313" s="492"/>
      <c r="BA1313" s="492"/>
      <c r="BB1313" s="492"/>
      <c r="BC1313" s="492"/>
      <c r="BD1313" s="492"/>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3" t="s">
        <v>262</v>
      </c>
    </row>
    <row r="1314" spans="1:78" s="142" customFormat="1" ht="12.75" hidden="1" customHeight="1" thickBot="1">
      <c r="A1314" s="808"/>
      <c r="B1314" s="166"/>
      <c r="C1314" s="777" t="s">
        <v>196</v>
      </c>
      <c r="D1314" s="512" t="str">
        <f>Translations!$B$622</f>
        <v>VD:</v>
      </c>
      <c r="E1314" s="513"/>
      <c r="F1314" s="402"/>
      <c r="G1314" s="1532" t="str">
        <f>IF(OR(ISBLANK(F1314),F1314=EUconst_NoTier),"",IF(Z1314=0,EUconst_NA,IF(ISERROR(Z1314),"",Z1314)))</f>
        <v/>
      </c>
      <c r="H1314" s="1533"/>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0"/>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0"/>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0"/>
      <c r="AV1314" s="492" t="s">
        <v>314</v>
      </c>
      <c r="AW1314" s="492" t="s">
        <v>319</v>
      </c>
      <c r="AX1314" s="524"/>
      <c r="AY1314" s="30" t="s">
        <v>542</v>
      </c>
      <c r="AZ1314" s="30"/>
      <c r="BA1314" s="30"/>
      <c r="BB1314" s="504"/>
      <c r="BC1314" s="493" t="str">
        <f>EUconst_Fuel</f>
        <v>Degimas</v>
      </c>
      <c r="BD1314" s="493" t="str">
        <f>EUconst_ProcessCarbonate</f>
        <v>Proceso metu išsiskiriančios ŠESD</v>
      </c>
      <c r="BE1314" s="493"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4" t="b">
        <f>BZ1309</f>
        <v>1</v>
      </c>
    </row>
    <row r="1315" spans="1:78" s="142" customFormat="1" ht="4.5" hidden="1" customHeight="1">
      <c r="A1315" s="808"/>
      <c r="B1315" s="166"/>
      <c r="C1315" s="814"/>
      <c r="D1315" s="306"/>
      <c r="F1315" s="143"/>
      <c r="G1315" s="143"/>
      <c r="H1315" s="143" t="s">
        <v>236</v>
      </c>
      <c r="I1315" s="525"/>
      <c r="J1315" s="525"/>
      <c r="K1315" s="143"/>
      <c r="L1315" s="143"/>
      <c r="M1315" s="710"/>
      <c r="O1315" s="733"/>
      <c r="P1315" s="33"/>
      <c r="Q1315" s="33"/>
      <c r="R1315" s="33"/>
      <c r="S1315" s="30"/>
      <c r="T1315" s="155"/>
      <c r="U1315" s="497"/>
      <c r="V1315" s="30"/>
      <c r="W1315" s="30"/>
      <c r="X1315" s="497"/>
      <c r="Y1315" s="526"/>
      <c r="Z1315" s="30"/>
      <c r="AA1315" s="30"/>
      <c r="AB1315" s="30"/>
      <c r="AC1315" s="30"/>
      <c r="AD1315" s="30"/>
      <c r="AE1315" s="30"/>
      <c r="AF1315" s="30"/>
      <c r="AG1315" s="30"/>
      <c r="AH1315" s="30"/>
      <c r="AI1315" s="30"/>
      <c r="AJ1315" s="30"/>
      <c r="AK1315" s="30"/>
      <c r="AL1315" s="342"/>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3"/>
    </row>
    <row r="1316" spans="1:78" s="142" customFormat="1" ht="12.75" hidden="1" customHeight="1" thickBot="1">
      <c r="A1316" s="808"/>
      <c r="B1316" s="166"/>
      <c r="C1316" s="814" t="s">
        <v>197</v>
      </c>
      <c r="D1316" s="512" t="str">
        <f>Translations!$B$634</f>
        <v>(prelim.) ITF:</v>
      </c>
      <c r="E1316" s="513"/>
      <c r="F1316" s="527"/>
      <c r="G1316" s="1532" t="str">
        <f t="shared" ref="G1316:G1322" si="322">IF(OR(ISBLANK(F1316),F1316=EUconst_NoTier),"",IF(Z1316=0,EUconst_NotApplicable,IF(ISERROR(Z1316),"",Z1316)))</f>
        <v/>
      </c>
      <c r="H1316" s="1556"/>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3"/>
      <c r="Q1316" s="33"/>
      <c r="R1316" s="33"/>
      <c r="S1316" s="30"/>
      <c r="T1316" s="530" t="str">
        <f>EUconst_CNTR_EF&amp;E1305</f>
        <v>EF_</v>
      </c>
      <c r="U1316" s="497"/>
      <c r="V1316" s="531" t="str">
        <f>V1314</f>
        <v/>
      </c>
      <c r="W1316" s="30"/>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0"/>
      <c r="AC1316" s="535" t="b">
        <f>AND(AC1314,Y1316&lt;&gt;EUconst_NA)</f>
        <v>0</v>
      </c>
      <c r="AD1316" s="30"/>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0"/>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0"/>
      <c r="BA1316" s="30"/>
      <c r="BB1316" s="547" t="s">
        <v>594</v>
      </c>
      <c r="BC1316" s="546" t="str">
        <f>IF(K1304=BC1314,AR1314*IF(AJ1316=EUconst_tCO2pTJ,(AR1317/1000),1)*AR1316*AR1318*AR1322,"")</f>
        <v/>
      </c>
      <c r="BD1316" s="524" t="str">
        <f>IF(K1304=BD1314,AR1314*AR1316*AR1319*AR1322,"")</f>
        <v/>
      </c>
      <c r="BE1316" s="523"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1" t="b">
        <f>OR(BZ1314,Y1316=EUconst_NA)</f>
        <v>1</v>
      </c>
    </row>
    <row r="1317" spans="1:78" s="142" customFormat="1" ht="12.75" hidden="1" customHeight="1" thickBot="1">
      <c r="A1317" s="808"/>
      <c r="B1317" s="166"/>
      <c r="C1317" s="814" t="s">
        <v>198</v>
      </c>
      <c r="D1317" s="512" t="str">
        <f>Translations!$B$636</f>
        <v>GŠV:</v>
      </c>
      <c r="E1317" s="513"/>
      <c r="F1317" s="548"/>
      <c r="G1317" s="1532" t="str">
        <f t="shared" si="322"/>
        <v/>
      </c>
      <c r="H1317" s="1533"/>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3"/>
      <c r="Q1317" s="33"/>
      <c r="R1317" s="33"/>
      <c r="S1317" s="30"/>
      <c r="T1317" s="552" t="str">
        <f>EUconst_CNTR_NCV&amp;E1305</f>
        <v>NCV_</v>
      </c>
      <c r="U1317" s="497"/>
      <c r="V1317" s="553" t="str">
        <f t="shared" ref="V1317:V1322" si="328">V1316</f>
        <v/>
      </c>
      <c r="W1317" s="30"/>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0"/>
      <c r="AC1317" s="557" t="b">
        <f>AND(AC1314,Y1317&lt;&gt;EUconst_NA)</f>
        <v>0</v>
      </c>
      <c r="AD1317" s="30"/>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0"/>
      <c r="AV1317" s="567" t="b">
        <f t="shared" si="325"/>
        <v>0</v>
      </c>
      <c r="AW1317" s="568" t="b">
        <f t="shared" si="326"/>
        <v>0</v>
      </c>
      <c r="AX1317" s="30"/>
      <c r="AY1317" s="553" t="b">
        <f t="shared" si="327"/>
        <v>0</v>
      </c>
      <c r="AZ1317" s="30"/>
      <c r="BA1317" s="30"/>
      <c r="BB1317" s="547" t="s">
        <v>595</v>
      </c>
      <c r="BC1317" s="546" t="str">
        <f>IF(K1304=BC1314,AR1314*IF(AJ1316=EUconst_tCO2pTJ,(AR1317/1000),1)*AR1316*AR1318*AR1321,"")</f>
        <v/>
      </c>
      <c r="BD1317" s="524" t="str">
        <f>IF(K1304=BD1314,AR1314*AR1316*AR1319*AR1321,"")</f>
        <v/>
      </c>
      <c r="BE1317" s="523"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3" t="b">
        <f>OR(BZ1314,Y1317=EUconst_NA)</f>
        <v>1</v>
      </c>
    </row>
    <row r="1318" spans="1:78" s="142" customFormat="1" ht="12.75" hidden="1" customHeight="1" thickBot="1">
      <c r="A1318" s="808"/>
      <c r="B1318" s="166"/>
      <c r="C1318" s="814" t="s">
        <v>199</v>
      </c>
      <c r="D1318" s="512" t="str">
        <f>Translations!$B$638</f>
        <v>OksK:</v>
      </c>
      <c r="E1318" s="513"/>
      <c r="F1318" s="548"/>
      <c r="G1318" s="1532" t="str">
        <f t="shared" si="322"/>
        <v/>
      </c>
      <c r="H1318" s="1533"/>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3"/>
      <c r="Q1318" s="33"/>
      <c r="R1318" s="33"/>
      <c r="S1318" s="30"/>
      <c r="T1318" s="552" t="str">
        <f>EUconst_CNTR_OxidationFactor&amp;E1305</f>
        <v>OxF_</v>
      </c>
      <c r="U1318" s="497"/>
      <c r="V1318" s="553" t="str">
        <f t="shared" si="328"/>
        <v/>
      </c>
      <c r="W1318" s="30"/>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0"/>
      <c r="AC1318" s="557" t="b">
        <f>AND(AC1314,Y1318&lt;&gt;EUconst_NA)</f>
        <v>0</v>
      </c>
      <c r="AD1318" s="30"/>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0"/>
      <c r="AV1318" s="567" t="b">
        <f t="shared" si="325"/>
        <v>0</v>
      </c>
      <c r="AW1318" s="568" t="b">
        <f t="shared" si="326"/>
        <v>0</v>
      </c>
      <c r="AX1318" s="30"/>
      <c r="AY1318" s="594" t="b">
        <f t="shared" si="327"/>
        <v>0</v>
      </c>
      <c r="AZ1318" s="531" t="b">
        <f>AR1318&gt;100%</f>
        <v>0</v>
      </c>
      <c r="BA1318" s="30"/>
      <c r="BB1318" s="547" t="s">
        <v>290</v>
      </c>
      <c r="BC1318" s="546" t="str">
        <f>IF(K1304=BC1314,AR1314*IF(AJ1316=EUconst_tCO2pTJ,(AR1317/1000),1)*AR1316*AR1318*(1-AR1321),"")</f>
        <v/>
      </c>
      <c r="BD1318" s="524" t="str">
        <f>IF(K1304=BD1314,AR1314*AR1316*AR1319*(1-AR1321),"")</f>
        <v/>
      </c>
      <c r="BE1318" s="523"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3" t="b">
        <f>OR(BZ1314,Y1318=EUconst_NA)</f>
        <v>1</v>
      </c>
    </row>
    <row r="1319" spans="1:78" s="142" customFormat="1" ht="12.75" hidden="1" customHeight="1" thickBot="1">
      <c r="A1319" s="808"/>
      <c r="B1319" s="166"/>
      <c r="C1319" s="814" t="s">
        <v>200</v>
      </c>
      <c r="D1319" s="512" t="str">
        <f>Translations!$B$639</f>
        <v>KonvK:</v>
      </c>
      <c r="E1319" s="513"/>
      <c r="F1319" s="548"/>
      <c r="G1319" s="1532" t="str">
        <f t="shared" si="322"/>
        <v/>
      </c>
      <c r="H1319" s="1533"/>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3"/>
      <c r="Q1319" s="33"/>
      <c r="R1319" s="33"/>
      <c r="S1319" s="30"/>
      <c r="T1319" s="552" t="str">
        <f>EUconst_CNTR_ConversionFactor&amp;E1305</f>
        <v>ConvF_</v>
      </c>
      <c r="U1319" s="497"/>
      <c r="V1319" s="553" t="str">
        <f t="shared" si="328"/>
        <v/>
      </c>
      <c r="W1319" s="30"/>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0"/>
      <c r="AC1319" s="557" t="b">
        <f>AND(AC1314,Y1319&lt;&gt;EUconst_NA)</f>
        <v>0</v>
      </c>
      <c r="AD1319" s="30"/>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0"/>
      <c r="AV1319" s="567" t="b">
        <f t="shared" si="325"/>
        <v>0</v>
      </c>
      <c r="AW1319" s="568" t="b">
        <f t="shared" si="326"/>
        <v>0</v>
      </c>
      <c r="AX1319" s="30"/>
      <c r="AY1319" s="594" t="b">
        <f t="shared" si="327"/>
        <v>0</v>
      </c>
      <c r="AZ1319" s="580" t="b">
        <f>AR1319&gt;100%</f>
        <v>0</v>
      </c>
      <c r="BA1319" s="30"/>
      <c r="BB1319" s="578" t="s">
        <v>487</v>
      </c>
      <c r="BC1319" s="579">
        <f>AR1314*AR1317/1000*(1-AR1321)</f>
        <v>0</v>
      </c>
      <c r="BD1319" s="580">
        <f>BC1319</f>
        <v>0</v>
      </c>
      <c r="BE1319" s="581">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3" t="b">
        <f>OR(BZ1314,Y1319=EUconst_NA)</f>
        <v>1</v>
      </c>
    </row>
    <row r="1320" spans="1:78" s="142" customFormat="1" ht="12.75" hidden="1" customHeight="1" thickBot="1">
      <c r="A1320" s="808"/>
      <c r="B1320" s="166"/>
      <c r="C1320" s="814" t="s">
        <v>329</v>
      </c>
      <c r="D1320" s="512" t="str">
        <f>Translations!$B$640</f>
        <v>AnglK:</v>
      </c>
      <c r="E1320" s="513"/>
      <c r="F1320" s="548"/>
      <c r="G1320" s="1532" t="str">
        <f t="shared" si="322"/>
        <v/>
      </c>
      <c r="H1320" s="1533"/>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3"/>
      <c r="Q1320" s="33"/>
      <c r="R1320" s="33"/>
      <c r="S1320" s="30"/>
      <c r="T1320" s="552" t="str">
        <f>EUconst_CNTR_CarbonContent&amp;E1305</f>
        <v>CarbC_</v>
      </c>
      <c r="U1320" s="497"/>
      <c r="V1320" s="553" t="str">
        <f t="shared" si="328"/>
        <v/>
      </c>
      <c r="W1320" s="30"/>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0"/>
      <c r="AC1320" s="557" t="b">
        <f>AND(AC1314,Y1320&lt;&gt;EUconst_NA)</f>
        <v>0</v>
      </c>
      <c r="AD1320" s="30"/>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0"/>
      <c r="AV1320" s="567" t="b">
        <f t="shared" si="325"/>
        <v>0</v>
      </c>
      <c r="AW1320" s="568" t="b">
        <f t="shared" si="326"/>
        <v>0</v>
      </c>
      <c r="AX1320" s="546" t="b">
        <f>OR(AND(AJ1314=EUconst_kNm3,AJ1320=EUconst_tCpt),AND(AJ1314=EUconst_t,AJ1320=EUconst_tCpkNm3))</f>
        <v>0</v>
      </c>
      <c r="AY1320" s="553" t="b">
        <f t="shared" si="327"/>
        <v>0</v>
      </c>
      <c r="AZ1320" s="30"/>
      <c r="BA1320" s="30"/>
      <c r="BB1320" s="578" t="s">
        <v>488</v>
      </c>
      <c r="BC1320" s="579">
        <f>AR1314*AR1317/1000*AR1321</f>
        <v>0</v>
      </c>
      <c r="BD1320" s="580">
        <f>BC1320</f>
        <v>0</v>
      </c>
      <c r="BE1320" s="581">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3" t="b">
        <f>OR(BZ1314,Y1320=EUconst_NA)</f>
        <v>1</v>
      </c>
    </row>
    <row r="1321" spans="1:78" s="142" customFormat="1" ht="12.75" hidden="1" customHeight="1">
      <c r="A1321" s="808"/>
      <c r="B1321" s="166"/>
      <c r="C1321" s="777" t="s">
        <v>330</v>
      </c>
      <c r="D1321" s="512" t="str">
        <f>Translations!$B$641</f>
        <v>BioC:</v>
      </c>
      <c r="E1321" s="513"/>
      <c r="F1321" s="548"/>
      <c r="G1321" s="1532" t="str">
        <f t="shared" si="322"/>
        <v/>
      </c>
      <c r="H1321" s="1533"/>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0"/>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0"/>
      <c r="AC1321" s="557" t="b">
        <f>AND(AC1314,Y1321&lt;&gt;EUconst_NA)</f>
        <v>0</v>
      </c>
      <c r="AD1321" s="30"/>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0"/>
      <c r="AV1321" s="567" t="b">
        <f t="shared" si="325"/>
        <v>0</v>
      </c>
      <c r="AW1321" s="568" t="b">
        <f t="shared" si="326"/>
        <v>0</v>
      </c>
      <c r="AX1321" s="30"/>
      <c r="AY1321" s="594" t="b">
        <f t="shared" si="327"/>
        <v>0</v>
      </c>
      <c r="AZ1321" s="531"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3" t="b">
        <f>OR(BZ1314,Y1321=EUconst_NA)</f>
        <v>1</v>
      </c>
    </row>
    <row r="1322" spans="1:78" s="142" customFormat="1" ht="12.75" hidden="1" customHeight="1" thickBot="1">
      <c r="A1322" s="808"/>
      <c r="B1322" s="166"/>
      <c r="C1322" s="777" t="s">
        <v>454</v>
      </c>
      <c r="D1322" s="512" t="str">
        <f>Translations!$B$647</f>
        <v>Netvar. BioC:</v>
      </c>
      <c r="E1322" s="513"/>
      <c r="F1322" s="597"/>
      <c r="G1322" s="1532" t="str">
        <f t="shared" si="322"/>
        <v/>
      </c>
      <c r="H1322" s="1533"/>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0"/>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0"/>
      <c r="AC1322" s="603" t="b">
        <f>AND(AC1314,Y1322&lt;&gt;EUconst_NA)</f>
        <v>0</v>
      </c>
      <c r="AD1322" s="30"/>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0"/>
      <c r="AV1322" s="613" t="b">
        <f t="shared" si="325"/>
        <v>0</v>
      </c>
      <c r="AW1322" s="614" t="b">
        <f t="shared" si="326"/>
        <v>0</v>
      </c>
      <c r="AX1322" s="30"/>
      <c r="AY1322" s="579" t="b">
        <f t="shared" si="327"/>
        <v>0</v>
      </c>
      <c r="AZ1322" s="580"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80" t="b">
        <f>OR(BZ1314,Y1322=EUconst_NA)</f>
        <v>1</v>
      </c>
    </row>
    <row r="1323" spans="1:78" s="142" customFormat="1" ht="4.5" hidden="1" customHeight="1">
      <c r="A1323" s="808"/>
      <c r="B1323" s="166"/>
      <c r="C1323" s="166"/>
      <c r="D1323" s="180"/>
      <c r="O1323" s="733"/>
      <c r="P1323" s="33"/>
      <c r="Q1323" s="33"/>
      <c r="R1323" s="33"/>
      <c r="S1323" s="174"/>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hidden="1" customHeight="1">
      <c r="A1324" s="808"/>
      <c r="B1324" s="166"/>
      <c r="C1324" s="166"/>
      <c r="D1324" s="1558" t="str">
        <f>Translations!$B$674</f>
        <v>Pakopos galioja nuo:</v>
      </c>
      <c r="E1324" s="1558"/>
      <c r="F1324" s="1559"/>
      <c r="G1324" s="1052"/>
      <c r="H1324" s="615" t="str">
        <f>Translations!$B$675</f>
        <v>iki:</v>
      </c>
      <c r="I1324" s="1052"/>
      <c r="J1324" s="1536" t="str">
        <f>Translations!$B$676</f>
        <v>Atliekų katalogo numeris (jeigu taikytina):</v>
      </c>
      <c r="K1324" s="1537"/>
      <c r="L1324" s="1537"/>
      <c r="M1324" s="1538"/>
      <c r="N1324" s="1289"/>
      <c r="O1324" s="733"/>
      <c r="P1324" s="33"/>
      <c r="Q1324" s="33"/>
      <c r="R1324" s="33"/>
      <c r="S1324" s="1290"/>
      <c r="T1324" s="492"/>
      <c r="U1324" s="492"/>
      <c r="V1324" s="48" t="b">
        <f>IF(V1314="",FALSE,INDEX(CNTR_IsWaste,MATCH(V1314,MSParameters!$A$218:$A$376,0)))</f>
        <v>0</v>
      </c>
      <c r="W1324" s="1290"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4.5" hidden="1" customHeight="1">
      <c r="A1325" s="808"/>
      <c r="B1325" s="166"/>
      <c r="C1325" s="166"/>
      <c r="D1325" s="615"/>
      <c r="E1325" s="495"/>
      <c r="F1325" s="495"/>
      <c r="G1325" s="495"/>
      <c r="H1325" s="495"/>
      <c r="I1325" s="495"/>
      <c r="J1325" s="495"/>
      <c r="K1325" s="495"/>
      <c r="L1325" s="495"/>
      <c r="M1325" s="495"/>
      <c r="N1325" s="495"/>
      <c r="O1325" s="733"/>
      <c r="P1325" s="33"/>
      <c r="Q1325" s="33"/>
      <c r="R1325" s="33"/>
      <c r="S1325" s="174"/>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hidden="1" customHeight="1">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3"/>
      <c r="Q1326" s="33"/>
      <c r="R1326" s="33"/>
      <c r="S1326" s="174"/>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4.5" hidden="1" customHeight="1">
      <c r="A1327" s="815"/>
      <c r="D1327" s="180"/>
      <c r="O1327" s="573"/>
      <c r="P1327" s="497"/>
      <c r="Q1327" s="497"/>
      <c r="R1327" s="497"/>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hidden="1">
      <c r="A1328" s="815"/>
      <c r="D1328" s="1534" t="str">
        <f>Translations!$B$160</f>
        <v>Pastabos:</v>
      </c>
      <c r="E1328" s="1535"/>
      <c r="F1328" s="1539"/>
      <c r="G1328" s="1540"/>
      <c r="H1328" s="1540"/>
      <c r="I1328" s="1540"/>
      <c r="J1328" s="1540"/>
      <c r="K1328" s="1540"/>
      <c r="L1328" s="1540"/>
      <c r="M1328" s="1540"/>
      <c r="N1328" s="1541"/>
      <c r="O1328" s="573"/>
      <c r="P1328" s="497"/>
      <c r="Q1328" s="497"/>
      <c r="R1328" s="497"/>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c r="A1329" s="808"/>
      <c r="B1329" s="495"/>
      <c r="C1329" s="499"/>
      <c r="D1329" s="500"/>
      <c r="E1329" s="501"/>
      <c r="F1329" s="499"/>
      <c r="G1329" s="502"/>
      <c r="H1329" s="502"/>
      <c r="I1329" s="502"/>
      <c r="J1329" s="502"/>
      <c r="K1329" s="502"/>
      <c r="L1329" s="502"/>
      <c r="M1329" s="502"/>
      <c r="N1329" s="502"/>
      <c r="O1329" s="740"/>
      <c r="P1329" s="494"/>
      <c r="Q1329" s="494"/>
      <c r="R1329" s="494"/>
      <c r="S1329" s="58"/>
      <c r="T1329" s="58"/>
      <c r="U1329" s="498"/>
      <c r="V1329" s="58"/>
      <c r="W1329" s="58"/>
      <c r="X1329" s="498"/>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c r="A1330" s="813"/>
      <c r="B1330" s="495"/>
      <c r="C1330" s="495"/>
      <c r="D1330" s="180"/>
      <c r="E1330" s="496"/>
      <c r="F1330" s="495"/>
      <c r="G1330" s="487"/>
      <c r="H1330" s="487"/>
      <c r="I1330" s="487"/>
      <c r="J1330" s="487"/>
      <c r="K1330" s="495"/>
      <c r="L1330" s="487"/>
      <c r="M1330" s="487"/>
      <c r="N1330" s="487"/>
      <c r="O1330" s="740"/>
      <c r="P1330" s="494"/>
      <c r="Q1330" s="494"/>
      <c r="R1330" s="494"/>
      <c r="S1330" s="23"/>
      <c r="T1330" s="27" t="str">
        <f>IF(ISBLANK(E1331),"",MATCH(E1331,CNTR_SourceStreamNames,0))</f>
        <v/>
      </c>
      <c r="U1330" s="618"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1"/>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3" t="s">
        <v>262</v>
      </c>
    </row>
    <row r="1331" spans="1:78" s="142" customFormat="1" ht="7.5" hidden="1" customHeight="1" thickBot="1">
      <c r="A1331" s="869" t="str">
        <f>IF(E1331="","","PRINT")</f>
        <v/>
      </c>
      <c r="B1331" s="166"/>
      <c r="C1331" s="617">
        <f>C1304+1</f>
        <v>48</v>
      </c>
      <c r="D1331" s="166"/>
      <c r="E1331" s="1542"/>
      <c r="F1331" s="1543"/>
      <c r="G1331" s="1543"/>
      <c r="H1331" s="1543"/>
      <c r="I1331" s="1543"/>
      <c r="J1331" s="1544"/>
      <c r="K1331" s="1545" t="str">
        <f>IF(E1332="","",INDEX(EUwideConstants!$F$353:$F$394,MATCH(E1332,EUConst_TierActivityListNames,0)))</f>
        <v/>
      </c>
      <c r="L1331" s="1546"/>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3"/>
      <c r="T1331" s="509" t="s">
        <v>393</v>
      </c>
      <c r="U1331" s="23"/>
      <c r="V1331" s="78"/>
      <c r="W1331" s="56"/>
      <c r="X1331" s="58"/>
      <c r="Y1331" s="58"/>
      <c r="Z1331" s="58"/>
      <c r="AA1331" s="58"/>
      <c r="AB1331" s="58"/>
      <c r="AC1331" s="58"/>
      <c r="AD1331" s="58"/>
      <c r="AE1331" s="58"/>
      <c r="AF1331" s="58"/>
      <c r="AG1331" s="58"/>
      <c r="AH1331" s="58"/>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6"/>
      <c r="BZ1331" s="619" t="b">
        <f>CNTR_CalcRelevant=EUconst_NotRelevant</f>
        <v>0</v>
      </c>
    </row>
    <row r="1332" spans="1:78" s="142" customFormat="1" ht="15" hidden="1" customHeight="1" thickBot="1">
      <c r="A1332" s="808"/>
      <c r="B1332" s="166"/>
      <c r="C1332" s="166"/>
      <c r="D1332" s="166"/>
      <c r="E1332" s="1547" t="str">
        <f>IF(ISBLANK(E1331),"",IF(INDEX(B_InstallationDescription!$E$71:$E$145,MATCH(U1330,B_InstallationDescription!$D$71:$D$145,0))&gt;0,INDEX(B_InstallationDescription!$E$71:$E$145,MATCH(U1330,B_InstallationDescription!$D$71:$D$145,0)),""))</f>
        <v/>
      </c>
      <c r="F1332" s="1548"/>
      <c r="G1332" s="1548"/>
      <c r="H1332" s="1548"/>
      <c r="I1332" s="1548"/>
      <c r="J1332" s="1549"/>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4"/>
      <c r="AH1332" s="30"/>
      <c r="AI1332" s="30"/>
      <c r="AJ1332" s="504"/>
      <c r="AK1332" s="504"/>
      <c r="AL1332" s="342"/>
      <c r="AM1332" s="27" t="s">
        <v>308</v>
      </c>
      <c r="AN1332" s="505"/>
      <c r="AO1332" s="505"/>
      <c r="AP1332" s="30"/>
      <c r="AQ1332" s="30"/>
      <c r="AR1332" s="30"/>
      <c r="AS1332" s="30"/>
      <c r="AT1332" s="30"/>
      <c r="AU1332" s="30"/>
      <c r="AV1332" s="27" t="s">
        <v>315</v>
      </c>
      <c r="AW1332" s="30"/>
      <c r="AX1332" s="492"/>
      <c r="AY1332" s="30"/>
      <c r="AZ1332" s="30"/>
      <c r="BA1332" s="30"/>
      <c r="BB1332" s="27" t="s">
        <v>219</v>
      </c>
      <c r="BC1332" s="30"/>
      <c r="BD1332" s="30"/>
      <c r="BE1332" s="30"/>
      <c r="BF1332" s="30"/>
      <c r="BG1332" s="27"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0"/>
      <c r="BZ1332" s="30"/>
    </row>
    <row r="1333" spans="1:78" s="142" customFormat="1" ht="4.5" hidden="1" customHeight="1">
      <c r="A1333" s="808"/>
      <c r="B1333" s="166"/>
      <c r="C1333" s="166"/>
      <c r="D1333" s="166"/>
      <c r="E1333" s="166"/>
      <c r="F1333" s="166"/>
      <c r="G1333" s="166"/>
      <c r="M1333" s="143"/>
      <c r="N1333" s="143"/>
      <c r="O1333" s="733"/>
      <c r="P1333" s="33"/>
      <c r="Q1333" s="33"/>
      <c r="R1333" s="33"/>
      <c r="S1333" s="23"/>
      <c r="T1333" s="23"/>
      <c r="U1333" s="23"/>
      <c r="V1333" s="78"/>
      <c r="W1333" s="30"/>
      <c r="X1333" s="30"/>
      <c r="Y1333" s="494"/>
      <c r="Z1333" s="30"/>
      <c r="AA1333" s="30"/>
      <c r="AB1333" s="30"/>
      <c r="AC1333" s="30"/>
      <c r="AD1333" s="30"/>
      <c r="AE1333" s="30"/>
      <c r="AF1333" s="58"/>
      <c r="AG1333" s="30"/>
      <c r="AH1333" s="30"/>
      <c r="AI1333" s="30"/>
      <c r="AJ1333" s="504"/>
      <c r="AK1333" s="504"/>
      <c r="AL1333" s="342"/>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hidden="1" customHeight="1" thickBot="1">
      <c r="A1334" s="808"/>
      <c r="B1334" s="166"/>
      <c r="C1334" s="166"/>
      <c r="D1334" s="166"/>
      <c r="E1334" s="1550" t="str">
        <f>IF(E1331="","",IF(T1332=TRUE,HYPERLINK("#JUMP_14",EUconst_MsgGoOnPFC),HYPERLINK("#JUMP_E_8",EUconst_FurtherGuidancePoint1)))</f>
        <v/>
      </c>
      <c r="F1334" s="1550"/>
      <c r="G1334" s="1550"/>
      <c r="H1334" s="1550"/>
      <c r="I1334" s="1550"/>
      <c r="J1334" s="1550"/>
      <c r="K1334" s="1550"/>
      <c r="L1334" s="1550"/>
      <c r="M1334" s="1550"/>
      <c r="N1334" s="143"/>
      <c r="O1334" s="733"/>
      <c r="P1334" s="33"/>
      <c r="Q1334" s="352" t="str">
        <f>EUconst_SumNonSustBioCO2 &amp; "_" &amp; K1331</f>
        <v>SUM_bioNonSustCO2_</v>
      </c>
      <c r="R1334" s="707"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4"/>
      <c r="AK1334" s="504"/>
      <c r="AL1334" s="342"/>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4.5" hidden="1" customHeight="1">
      <c r="A1335" s="808"/>
      <c r="B1335" s="166"/>
      <c r="C1335" s="166"/>
      <c r="D1335" s="166"/>
      <c r="E1335" s="166"/>
      <c r="F1335" s="166"/>
      <c r="G1335" s="166"/>
      <c r="M1335" s="143"/>
      <c r="N1335" s="143"/>
      <c r="O1335" s="733"/>
      <c r="P1335" s="23"/>
      <c r="Q1335" s="23"/>
      <c r="R1335" s="23"/>
      <c r="S1335" s="23"/>
      <c r="T1335" s="23"/>
      <c r="U1335" s="23"/>
      <c r="V1335" s="30"/>
      <c r="W1335" s="30"/>
      <c r="X1335" s="30"/>
      <c r="Y1335" s="494"/>
      <c r="Z1335" s="30"/>
      <c r="AA1335" s="30"/>
      <c r="AB1335" s="30"/>
      <c r="AC1335" s="30"/>
      <c r="AD1335" s="30"/>
      <c r="AE1335" s="30"/>
      <c r="AF1335" s="58"/>
      <c r="AG1335" s="30"/>
      <c r="AH1335" s="30"/>
      <c r="AI1335" s="30"/>
      <c r="AJ1335" s="504"/>
      <c r="AK1335" s="504"/>
      <c r="AL1335" s="342"/>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hidden="1" customHeight="1" thickBot="1">
      <c r="A1336" s="808"/>
      <c r="B1336" s="166"/>
      <c r="C1336" s="814" t="s">
        <v>4</v>
      </c>
      <c r="D1336" s="512" t="str">
        <f>Translations!$B$622</f>
        <v>VD:</v>
      </c>
      <c r="E1336" s="1560" t="str">
        <f>Translations!$B$667</f>
        <v>Ar veiklos duomenys gaunami sudedant išmatuotus kiekius (t. y. ne atliekant nuolatinius matavimus)?</v>
      </c>
      <c r="F1336" s="1560"/>
      <c r="G1336" s="1560"/>
      <c r="H1336" s="1560"/>
      <c r="I1336" s="1560"/>
      <c r="J1336" s="1560"/>
      <c r="K1336" s="1560"/>
      <c r="L1336" s="1179"/>
      <c r="M1336" s="507"/>
      <c r="O1336" s="733"/>
      <c r="P1336" s="23"/>
      <c r="Q1336" s="23"/>
      <c r="R1336" s="23"/>
      <c r="S1336" s="23"/>
      <c r="T1336" s="23"/>
      <c r="U1336" s="23"/>
      <c r="V1336" s="30"/>
      <c r="W1336" s="30"/>
      <c r="X1336" s="30"/>
      <c r="Y1336" s="494"/>
      <c r="Z1336" s="30"/>
      <c r="AA1336" s="30"/>
      <c r="AB1336" s="30"/>
      <c r="AC1336" s="1172" t="b">
        <f>AND(E1331&lt;&gt;"",T1332&lt;&gt;TRUE)</f>
        <v>0</v>
      </c>
      <c r="AD1336" s="30"/>
      <c r="AE1336" s="30"/>
      <c r="AF1336" s="58"/>
      <c r="AG1336" s="30"/>
      <c r="AH1336" s="30"/>
      <c r="AI1336" s="30"/>
      <c r="AJ1336" s="504"/>
      <c r="AK1336" s="504"/>
      <c r="AL1336" s="342"/>
      <c r="AM1336" s="30"/>
      <c r="AN1336" s="30"/>
      <c r="AO1336" s="30"/>
      <c r="AP1336" s="30"/>
      <c r="AQ1336" s="30"/>
      <c r="AR1336" s="30"/>
      <c r="AS1336" s="30"/>
      <c r="AT1336" s="1172"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2" t="b">
        <f>OR(CNTR_CalcRelevant=EUconst_NotRelevant,AND(COUNTA(CNTR_ListRelevantSections)&gt;0,OR(T1332=TRUE,E1331="")))</f>
        <v>1</v>
      </c>
    </row>
    <row r="1337" spans="1:78" s="142" customFormat="1" ht="4.5" hidden="1" customHeight="1">
      <c r="A1337" s="808"/>
      <c r="B1337" s="166"/>
      <c r="C1337" s="166"/>
      <c r="D1337" s="166"/>
      <c r="E1337" s="166"/>
      <c r="F1337" s="166"/>
      <c r="G1337" s="166"/>
      <c r="H1337" s="495"/>
      <c r="I1337" s="495"/>
      <c r="J1337" s="495"/>
      <c r="K1337" s="495"/>
      <c r="L1337" s="495"/>
      <c r="M1337" s="507"/>
      <c r="O1337" s="733"/>
      <c r="P1337" s="23"/>
      <c r="Q1337" s="23"/>
      <c r="R1337" s="23"/>
      <c r="S1337" s="23"/>
      <c r="T1337" s="23"/>
      <c r="U1337" s="23"/>
      <c r="V1337" s="30"/>
      <c r="W1337" s="30"/>
      <c r="X1337" s="30"/>
      <c r="Y1337" s="494"/>
      <c r="Z1337" s="30"/>
      <c r="AA1337" s="30"/>
      <c r="AB1337" s="30"/>
      <c r="AC1337" s="492"/>
      <c r="AD1337" s="30"/>
      <c r="AE1337" s="30"/>
      <c r="AF1337" s="58"/>
      <c r="AG1337" s="30"/>
      <c r="AH1337" s="30"/>
      <c r="AI1337" s="30"/>
      <c r="AJ1337" s="504"/>
      <c r="AK1337" s="504"/>
      <c r="AL1337" s="342"/>
      <c r="AM1337" s="30"/>
      <c r="AN1337" s="30"/>
      <c r="AO1337" s="30"/>
      <c r="AP1337" s="30"/>
      <c r="AQ1337" s="30"/>
      <c r="AR1337" s="30"/>
      <c r="AS1337" s="30"/>
      <c r="AT1337" s="492"/>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2"/>
    </row>
    <row r="1338" spans="1:78" s="142" customFormat="1" ht="12.75" hidden="1" customHeight="1" thickBot="1">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3"/>
      <c r="Q1338" s="23"/>
      <c r="R1338" s="23"/>
      <c r="S1338" s="23"/>
      <c r="T1338" s="23"/>
      <c r="U1338" s="23"/>
      <c r="V1338" s="30"/>
      <c r="W1338" s="30"/>
      <c r="X1338" s="30"/>
      <c r="Y1338" s="494"/>
      <c r="Z1338" s="30"/>
      <c r="AA1338" s="30"/>
      <c r="AB1338" s="30"/>
      <c r="AC1338" s="1172" t="b">
        <f>AC1336</f>
        <v>0</v>
      </c>
      <c r="AD1338" s="30"/>
      <c r="AE1338" s="30"/>
      <c r="AF1338" s="58"/>
      <c r="AG1338" s="30"/>
      <c r="AH1338" s="30"/>
      <c r="AI1338" s="30"/>
      <c r="AJ1338" s="504"/>
      <c r="AK1338" s="504"/>
      <c r="AL1338" s="342"/>
      <c r="AM1338" s="30"/>
      <c r="AN1338" s="30"/>
      <c r="AO1338" s="30"/>
      <c r="AP1338" s="30"/>
      <c r="AQ1338" s="30"/>
      <c r="AR1338" s="30"/>
      <c r="AS1338" s="30"/>
      <c r="AT1338" s="1172"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2" t="b">
        <f>OR(BZ1336,AND(NOT(ISBLANK(L1336)),L1336=FALSE))</f>
        <v>1</v>
      </c>
    </row>
    <row r="1339" spans="1:78" s="142" customFormat="1" ht="5.0999999999999996" hidden="1" customHeight="1">
      <c r="A1339" s="808"/>
      <c r="B1339" s="166"/>
      <c r="C1339" s="166"/>
      <c r="D1339" s="166"/>
      <c r="E1339" s="166"/>
      <c r="F1339" s="166"/>
      <c r="G1339" s="166"/>
      <c r="M1339" s="143"/>
      <c r="N1339" s="143"/>
      <c r="O1339" s="733"/>
      <c r="P1339" s="23"/>
      <c r="Q1339" s="23"/>
      <c r="R1339" s="23"/>
      <c r="S1339" s="23"/>
      <c r="T1339" s="23"/>
      <c r="U1339" s="23"/>
      <c r="V1339" s="30"/>
      <c r="W1339" s="30"/>
      <c r="X1339" s="30"/>
      <c r="Y1339" s="494"/>
      <c r="Z1339" s="30"/>
      <c r="AA1339" s="30"/>
      <c r="AB1339" s="30"/>
      <c r="AC1339" s="30"/>
      <c r="AD1339" s="30"/>
      <c r="AE1339" s="30"/>
      <c r="AF1339" s="58"/>
      <c r="AG1339" s="30"/>
      <c r="AH1339" s="30"/>
      <c r="AI1339" s="30"/>
      <c r="AJ1339" s="504"/>
      <c r="AK1339" s="504"/>
      <c r="AL1339" s="342"/>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hidden="1" customHeight="1" thickBot="1">
      <c r="A1340" s="808"/>
      <c r="B1340" s="166"/>
      <c r="C1340" s="166"/>
      <c r="D1340" s="166"/>
      <c r="E1340" s="166"/>
      <c r="F1340" s="506" t="str">
        <f>Translations!$B$333</f>
        <v>Pakopa</v>
      </c>
      <c r="G1340" s="1557" t="str">
        <f>Translations!$B$672</f>
        <v>pakopos aprašas</v>
      </c>
      <c r="H1340" s="1557"/>
      <c r="I1340" s="1555" t="str">
        <f>Translations!$B$158</f>
        <v>Vienetas</v>
      </c>
      <c r="J1340" s="1555"/>
      <c r="K1340" s="1555" t="str">
        <f>Translations!$B$673</f>
        <v>Vertė</v>
      </c>
      <c r="L1340" s="1555"/>
      <c r="M1340" s="507" t="str">
        <f>Translations!$B$610</f>
        <v>klaida</v>
      </c>
      <c r="O1340" s="733"/>
      <c r="P1340" s="508"/>
      <c r="Q1340" s="352" t="str">
        <f>EUconst_SumEnergyIN &amp; "_" &amp; K1331</f>
        <v>SUM_EnergyIN_</v>
      </c>
      <c r="R1340" s="399" t="str">
        <f>IF(OR(K1331="",T1332)=TRUE,"",INDEX(BC1346:BE1346,MATCH(K1331,BC1341:BE1341,0)))</f>
        <v/>
      </c>
      <c r="S1340" s="30"/>
      <c r="T1340" s="489"/>
      <c r="U1340" s="30"/>
      <c r="V1340" s="509" t="s">
        <v>303</v>
      </c>
      <c r="W1340" s="30"/>
      <c r="X1340" s="30"/>
      <c r="Y1340" s="494" t="s">
        <v>566</v>
      </c>
      <c r="Z1340" s="494" t="s">
        <v>318</v>
      </c>
      <c r="AA1340" s="30"/>
      <c r="AB1340" s="30"/>
      <c r="AC1340" s="505" t="s">
        <v>309</v>
      </c>
      <c r="AD1340" s="30"/>
      <c r="AE1340" s="30"/>
      <c r="AF1340" s="492" t="s">
        <v>305</v>
      </c>
      <c r="AG1340" s="492" t="s">
        <v>306</v>
      </c>
      <c r="AH1340" s="494" t="s">
        <v>304</v>
      </c>
      <c r="AI1340" s="504" t="s">
        <v>307</v>
      </c>
      <c r="AJ1340" s="504" t="s">
        <v>567</v>
      </c>
      <c r="AK1340" s="510" t="s">
        <v>311</v>
      </c>
      <c r="AL1340" s="342"/>
      <c r="AM1340" s="30"/>
      <c r="AN1340" s="492" t="s">
        <v>305</v>
      </c>
      <c r="AO1340" s="492" t="s">
        <v>306</v>
      </c>
      <c r="AP1340" s="511" t="s">
        <v>310</v>
      </c>
      <c r="AQ1340" s="504" t="s">
        <v>569</v>
      </c>
      <c r="AR1340" s="504" t="s">
        <v>568</v>
      </c>
      <c r="AS1340" s="510" t="s">
        <v>609</v>
      </c>
      <c r="AT1340" s="510" t="s">
        <v>609</v>
      </c>
      <c r="AU1340" s="30"/>
      <c r="AV1340" s="492"/>
      <c r="AW1340" s="492"/>
      <c r="AX1340" s="492" t="s">
        <v>321</v>
      </c>
      <c r="AY1340" s="492"/>
      <c r="AZ1340" s="492"/>
      <c r="BA1340" s="492"/>
      <c r="BB1340" s="492"/>
      <c r="BC1340" s="492"/>
      <c r="BD1340" s="492"/>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3" t="s">
        <v>262</v>
      </c>
    </row>
    <row r="1341" spans="1:78" s="142" customFormat="1" ht="12.75" hidden="1" customHeight="1" thickBot="1">
      <c r="A1341" s="808"/>
      <c r="B1341" s="166"/>
      <c r="C1341" s="777" t="s">
        <v>196</v>
      </c>
      <c r="D1341" s="512" t="str">
        <f>Translations!$B$622</f>
        <v>VD:</v>
      </c>
      <c r="E1341" s="513"/>
      <c r="F1341" s="402"/>
      <c r="G1341" s="1532" t="str">
        <f>IF(OR(ISBLANK(F1341),F1341=EUconst_NoTier),"",IF(Z1341=0,EUconst_NA,IF(ISERROR(Z1341),"",Z1341)))</f>
        <v/>
      </c>
      <c r="H1341" s="1533"/>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0"/>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0"/>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0"/>
      <c r="AV1341" s="492" t="s">
        <v>314</v>
      </c>
      <c r="AW1341" s="492" t="s">
        <v>319</v>
      </c>
      <c r="AX1341" s="524"/>
      <c r="AY1341" s="30" t="s">
        <v>542</v>
      </c>
      <c r="AZ1341" s="30"/>
      <c r="BA1341" s="30"/>
      <c r="BB1341" s="504"/>
      <c r="BC1341" s="493" t="str">
        <f>EUconst_Fuel</f>
        <v>Degimas</v>
      </c>
      <c r="BD1341" s="493" t="str">
        <f>EUconst_ProcessCarbonate</f>
        <v>Proceso metu išsiskiriančios ŠESD</v>
      </c>
      <c r="BE1341" s="493"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4" t="b">
        <f>BZ1336</f>
        <v>1</v>
      </c>
    </row>
    <row r="1342" spans="1:78" s="142" customFormat="1" ht="5.0999999999999996" hidden="1" customHeight="1">
      <c r="A1342" s="808"/>
      <c r="B1342" s="166"/>
      <c r="C1342" s="814"/>
      <c r="D1342" s="306"/>
      <c r="F1342" s="143"/>
      <c r="G1342" s="143"/>
      <c r="H1342" s="143" t="s">
        <v>236</v>
      </c>
      <c r="I1342" s="525"/>
      <c r="J1342" s="525"/>
      <c r="K1342" s="143"/>
      <c r="L1342" s="143"/>
      <c r="M1342" s="710"/>
      <c r="O1342" s="733"/>
      <c r="P1342" s="33"/>
      <c r="Q1342" s="33"/>
      <c r="R1342" s="33"/>
      <c r="S1342" s="30"/>
      <c r="T1342" s="155"/>
      <c r="U1342" s="497"/>
      <c r="V1342" s="30"/>
      <c r="W1342" s="30"/>
      <c r="X1342" s="497"/>
      <c r="Y1342" s="526"/>
      <c r="Z1342" s="30"/>
      <c r="AA1342" s="30"/>
      <c r="AB1342" s="30"/>
      <c r="AC1342" s="30"/>
      <c r="AD1342" s="30"/>
      <c r="AE1342" s="30"/>
      <c r="AF1342" s="30"/>
      <c r="AG1342" s="30"/>
      <c r="AH1342" s="30"/>
      <c r="AI1342" s="30"/>
      <c r="AJ1342" s="30"/>
      <c r="AK1342" s="30"/>
      <c r="AL1342" s="342"/>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3"/>
    </row>
    <row r="1343" spans="1:78" s="142" customFormat="1" ht="12.75" hidden="1" customHeight="1" thickBot="1">
      <c r="A1343" s="808"/>
      <c r="B1343" s="166"/>
      <c r="C1343" s="814" t="s">
        <v>197</v>
      </c>
      <c r="D1343" s="512" t="str">
        <f>Translations!$B$634</f>
        <v>(prelim.) ITF:</v>
      </c>
      <c r="E1343" s="513"/>
      <c r="F1343" s="527"/>
      <c r="G1343" s="1532" t="str">
        <f t="shared" ref="G1343:G1349" si="329">IF(OR(ISBLANK(F1343),F1343=EUconst_NoTier),"",IF(Z1343=0,EUconst_NotApplicable,IF(ISERROR(Z1343),"",Z1343)))</f>
        <v/>
      </c>
      <c r="H1343" s="1556"/>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3"/>
      <c r="Q1343" s="33"/>
      <c r="R1343" s="33"/>
      <c r="S1343" s="30"/>
      <c r="T1343" s="530" t="str">
        <f>EUconst_CNTR_EF&amp;E1332</f>
        <v>EF_</v>
      </c>
      <c r="U1343" s="497"/>
      <c r="V1343" s="531" t="str">
        <f>V1341</f>
        <v/>
      </c>
      <c r="W1343" s="30"/>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0"/>
      <c r="AC1343" s="535" t="b">
        <f>AND(AC1341,Y1343&lt;&gt;EUconst_NA)</f>
        <v>0</v>
      </c>
      <c r="AD1343" s="30"/>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0"/>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0"/>
      <c r="BA1343" s="30"/>
      <c r="BB1343" s="547" t="s">
        <v>594</v>
      </c>
      <c r="BC1343" s="546" t="str">
        <f>IF(K1331=BC1341,AR1341*IF(AJ1343=EUconst_tCO2pTJ,(AR1344/1000),1)*AR1343*AR1345*AR1349,"")</f>
        <v/>
      </c>
      <c r="BD1343" s="524" t="str">
        <f>IF(K1331=BD1341,AR1341*AR1343*AR1346*AR1349,"")</f>
        <v/>
      </c>
      <c r="BE1343" s="523"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1" t="b">
        <f>OR(BZ1341,Y1343=EUconst_NA)</f>
        <v>1</v>
      </c>
    </row>
    <row r="1344" spans="1:78" s="142" customFormat="1" ht="12.75" hidden="1" customHeight="1" thickBot="1">
      <c r="A1344" s="808"/>
      <c r="B1344" s="166"/>
      <c r="C1344" s="814" t="s">
        <v>198</v>
      </c>
      <c r="D1344" s="512" t="str">
        <f>Translations!$B$636</f>
        <v>GŠV:</v>
      </c>
      <c r="E1344" s="513"/>
      <c r="F1344" s="548"/>
      <c r="G1344" s="1532" t="str">
        <f t="shared" si="329"/>
        <v/>
      </c>
      <c r="H1344" s="1533"/>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3"/>
      <c r="Q1344" s="33"/>
      <c r="R1344" s="33"/>
      <c r="S1344" s="30"/>
      <c r="T1344" s="552" t="str">
        <f>EUconst_CNTR_NCV&amp;E1332</f>
        <v>NCV_</v>
      </c>
      <c r="U1344" s="497"/>
      <c r="V1344" s="553" t="str">
        <f t="shared" ref="V1344:V1349" si="335">V1343</f>
        <v/>
      </c>
      <c r="W1344" s="30"/>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0"/>
      <c r="AC1344" s="557" t="b">
        <f>AND(AC1341,Y1344&lt;&gt;EUconst_NA)</f>
        <v>0</v>
      </c>
      <c r="AD1344" s="30"/>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0"/>
      <c r="AV1344" s="567" t="b">
        <f t="shared" si="332"/>
        <v>0</v>
      </c>
      <c r="AW1344" s="568" t="b">
        <f t="shared" si="333"/>
        <v>0</v>
      </c>
      <c r="AX1344" s="30"/>
      <c r="AY1344" s="553" t="b">
        <f t="shared" si="334"/>
        <v>0</v>
      </c>
      <c r="AZ1344" s="30"/>
      <c r="BA1344" s="30"/>
      <c r="BB1344" s="547" t="s">
        <v>595</v>
      </c>
      <c r="BC1344" s="546" t="str">
        <f>IF(K1331=BC1341,AR1341*IF(AJ1343=EUconst_tCO2pTJ,(AR1344/1000),1)*AR1343*AR1345*AR1348,"")</f>
        <v/>
      </c>
      <c r="BD1344" s="524" t="str">
        <f>IF(K1331=BD1341,AR1341*AR1343*AR1346*AR1348,"")</f>
        <v/>
      </c>
      <c r="BE1344" s="523"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3" t="b">
        <f>OR(BZ1341,Y1344=EUconst_NA)</f>
        <v>1</v>
      </c>
    </row>
    <row r="1345" spans="1:78" s="142" customFormat="1" ht="12.75" hidden="1" customHeight="1" thickBot="1">
      <c r="A1345" s="808"/>
      <c r="B1345" s="166"/>
      <c r="C1345" s="814" t="s">
        <v>199</v>
      </c>
      <c r="D1345" s="512" t="str">
        <f>Translations!$B$638</f>
        <v>OksK:</v>
      </c>
      <c r="E1345" s="513"/>
      <c r="F1345" s="548"/>
      <c r="G1345" s="1532" t="str">
        <f t="shared" si="329"/>
        <v/>
      </c>
      <c r="H1345" s="1533"/>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3"/>
      <c r="Q1345" s="33"/>
      <c r="R1345" s="33"/>
      <c r="S1345" s="30"/>
      <c r="T1345" s="552" t="str">
        <f>EUconst_CNTR_OxidationFactor&amp;E1332</f>
        <v>OxF_</v>
      </c>
      <c r="U1345" s="497"/>
      <c r="V1345" s="553" t="str">
        <f t="shared" si="335"/>
        <v/>
      </c>
      <c r="W1345" s="30"/>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0"/>
      <c r="AC1345" s="557" t="b">
        <f>AND(AC1341,Y1345&lt;&gt;EUconst_NA)</f>
        <v>0</v>
      </c>
      <c r="AD1345" s="30"/>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0"/>
      <c r="AV1345" s="567" t="b">
        <f t="shared" si="332"/>
        <v>0</v>
      </c>
      <c r="AW1345" s="568" t="b">
        <f t="shared" si="333"/>
        <v>0</v>
      </c>
      <c r="AX1345" s="30"/>
      <c r="AY1345" s="594" t="b">
        <f t="shared" si="334"/>
        <v>0</v>
      </c>
      <c r="AZ1345" s="531" t="b">
        <f>AR1345&gt;100%</f>
        <v>0</v>
      </c>
      <c r="BA1345" s="30"/>
      <c r="BB1345" s="547" t="s">
        <v>290</v>
      </c>
      <c r="BC1345" s="546" t="str">
        <f>IF(K1331=BC1341,AR1341*IF(AJ1343=EUconst_tCO2pTJ,(AR1344/1000),1)*AR1343*AR1345*(1-AR1348),"")</f>
        <v/>
      </c>
      <c r="BD1345" s="524" t="str">
        <f>IF(K1331=BD1341,AR1341*AR1343*AR1346*(1-AR1348),"")</f>
        <v/>
      </c>
      <c r="BE1345" s="523"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3" t="b">
        <f>OR(BZ1341,Y1345=EUconst_NA)</f>
        <v>1</v>
      </c>
    </row>
    <row r="1346" spans="1:78" s="142" customFormat="1" ht="12.75" hidden="1" customHeight="1" thickBot="1">
      <c r="A1346" s="808"/>
      <c r="B1346" s="166"/>
      <c r="C1346" s="814" t="s">
        <v>200</v>
      </c>
      <c r="D1346" s="512" t="str">
        <f>Translations!$B$639</f>
        <v>KonvK:</v>
      </c>
      <c r="E1346" s="513"/>
      <c r="F1346" s="548"/>
      <c r="G1346" s="1532" t="str">
        <f t="shared" si="329"/>
        <v/>
      </c>
      <c r="H1346" s="1533"/>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3"/>
      <c r="Q1346" s="33"/>
      <c r="R1346" s="33"/>
      <c r="S1346" s="30"/>
      <c r="T1346" s="552" t="str">
        <f>EUconst_CNTR_ConversionFactor&amp;E1332</f>
        <v>ConvF_</v>
      </c>
      <c r="U1346" s="497"/>
      <c r="V1346" s="553" t="str">
        <f t="shared" si="335"/>
        <v/>
      </c>
      <c r="W1346" s="30"/>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0"/>
      <c r="AC1346" s="557" t="b">
        <f>AND(AC1341,Y1346&lt;&gt;EUconst_NA)</f>
        <v>0</v>
      </c>
      <c r="AD1346" s="30"/>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0"/>
      <c r="AV1346" s="567" t="b">
        <f t="shared" si="332"/>
        <v>0</v>
      </c>
      <c r="AW1346" s="568" t="b">
        <f t="shared" si="333"/>
        <v>0</v>
      </c>
      <c r="AX1346" s="30"/>
      <c r="AY1346" s="594" t="b">
        <f t="shared" si="334"/>
        <v>0</v>
      </c>
      <c r="AZ1346" s="580" t="b">
        <f>AR1346&gt;100%</f>
        <v>0</v>
      </c>
      <c r="BA1346" s="30"/>
      <c r="BB1346" s="578" t="s">
        <v>487</v>
      </c>
      <c r="BC1346" s="579">
        <f>AR1341*AR1344/1000*(1-AR1348)</f>
        <v>0</v>
      </c>
      <c r="BD1346" s="580">
        <f>BC1346</f>
        <v>0</v>
      </c>
      <c r="BE1346" s="581">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3" t="b">
        <f>OR(BZ1341,Y1346=EUconst_NA)</f>
        <v>1</v>
      </c>
    </row>
    <row r="1347" spans="1:78" s="142" customFormat="1" ht="12.75" hidden="1" customHeight="1" thickBot="1">
      <c r="A1347" s="808"/>
      <c r="B1347" s="166"/>
      <c r="C1347" s="814" t="s">
        <v>329</v>
      </c>
      <c r="D1347" s="512" t="str">
        <f>Translations!$B$640</f>
        <v>AnglK:</v>
      </c>
      <c r="E1347" s="513"/>
      <c r="F1347" s="548"/>
      <c r="G1347" s="1532" t="str">
        <f t="shared" si="329"/>
        <v/>
      </c>
      <c r="H1347" s="1533"/>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3"/>
      <c r="Q1347" s="33"/>
      <c r="R1347" s="33"/>
      <c r="S1347" s="30"/>
      <c r="T1347" s="552" t="str">
        <f>EUconst_CNTR_CarbonContent&amp;E1332</f>
        <v>CarbC_</v>
      </c>
      <c r="U1347" s="497"/>
      <c r="V1347" s="553" t="str">
        <f t="shared" si="335"/>
        <v/>
      </c>
      <c r="W1347" s="30"/>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0"/>
      <c r="AC1347" s="557" t="b">
        <f>AND(AC1341,Y1347&lt;&gt;EUconst_NA)</f>
        <v>0</v>
      </c>
      <c r="AD1347" s="30"/>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0"/>
      <c r="AV1347" s="567" t="b">
        <f t="shared" si="332"/>
        <v>0</v>
      </c>
      <c r="AW1347" s="568" t="b">
        <f t="shared" si="333"/>
        <v>0</v>
      </c>
      <c r="AX1347" s="546" t="b">
        <f>OR(AND(AJ1341=EUconst_kNm3,AJ1347=EUconst_tCpt),AND(AJ1341=EUconst_t,AJ1347=EUconst_tCpkNm3))</f>
        <v>0</v>
      </c>
      <c r="AY1347" s="553" t="b">
        <f t="shared" si="334"/>
        <v>0</v>
      </c>
      <c r="AZ1347" s="30"/>
      <c r="BA1347" s="30"/>
      <c r="BB1347" s="578" t="s">
        <v>488</v>
      </c>
      <c r="BC1347" s="579">
        <f>AR1341*AR1344/1000*AR1348</f>
        <v>0</v>
      </c>
      <c r="BD1347" s="580">
        <f>BC1347</f>
        <v>0</v>
      </c>
      <c r="BE1347" s="581">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3" t="b">
        <f>OR(BZ1341,Y1347=EUconst_NA)</f>
        <v>1</v>
      </c>
    </row>
    <row r="1348" spans="1:78" s="142" customFormat="1" ht="12.75" hidden="1" customHeight="1">
      <c r="A1348" s="808"/>
      <c r="B1348" s="166"/>
      <c r="C1348" s="777" t="s">
        <v>330</v>
      </c>
      <c r="D1348" s="512" t="str">
        <f>Translations!$B$641</f>
        <v>BioC:</v>
      </c>
      <c r="E1348" s="513"/>
      <c r="F1348" s="548"/>
      <c r="G1348" s="1532" t="str">
        <f t="shared" si="329"/>
        <v/>
      </c>
      <c r="H1348" s="1533"/>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0"/>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0"/>
      <c r="AC1348" s="557" t="b">
        <f>AND(AC1341,Y1348&lt;&gt;EUconst_NA)</f>
        <v>0</v>
      </c>
      <c r="AD1348" s="30"/>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0"/>
      <c r="AV1348" s="567" t="b">
        <f t="shared" si="332"/>
        <v>0</v>
      </c>
      <c r="AW1348" s="568" t="b">
        <f t="shared" si="333"/>
        <v>0</v>
      </c>
      <c r="AX1348" s="30"/>
      <c r="AY1348" s="594" t="b">
        <f t="shared" si="334"/>
        <v>0</v>
      </c>
      <c r="AZ1348" s="531"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3" t="b">
        <f>OR(BZ1341,Y1348=EUconst_NA)</f>
        <v>1</v>
      </c>
    </row>
    <row r="1349" spans="1:78" s="142" customFormat="1" ht="12.75" hidden="1" customHeight="1" thickBot="1">
      <c r="A1349" s="808"/>
      <c r="B1349" s="166"/>
      <c r="C1349" s="777" t="s">
        <v>454</v>
      </c>
      <c r="D1349" s="512" t="str">
        <f>Translations!$B$647</f>
        <v>Netvar. BioC:</v>
      </c>
      <c r="E1349" s="513"/>
      <c r="F1349" s="597"/>
      <c r="G1349" s="1532" t="str">
        <f t="shared" si="329"/>
        <v/>
      </c>
      <c r="H1349" s="1533"/>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0"/>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0"/>
      <c r="AC1349" s="603" t="b">
        <f>AND(AC1341,Y1349&lt;&gt;EUconst_NA)</f>
        <v>0</v>
      </c>
      <c r="AD1349" s="30"/>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0"/>
      <c r="AV1349" s="613" t="b">
        <f t="shared" si="332"/>
        <v>0</v>
      </c>
      <c r="AW1349" s="614" t="b">
        <f t="shared" si="333"/>
        <v>0</v>
      </c>
      <c r="AX1349" s="30"/>
      <c r="AY1349" s="579" t="b">
        <f t="shared" si="334"/>
        <v>0</v>
      </c>
      <c r="AZ1349" s="580"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80" t="b">
        <f>OR(BZ1341,Y1349=EUconst_NA)</f>
        <v>1</v>
      </c>
    </row>
    <row r="1350" spans="1:78" s="142" customFormat="1" ht="4.5" hidden="1" customHeight="1">
      <c r="A1350" s="808"/>
      <c r="B1350" s="166"/>
      <c r="C1350" s="166"/>
      <c r="D1350" s="180"/>
      <c r="O1350" s="733"/>
      <c r="P1350" s="33"/>
      <c r="Q1350" s="33"/>
      <c r="R1350" s="33"/>
      <c r="S1350" s="174"/>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hidden="1" customHeight="1">
      <c r="A1351" s="808"/>
      <c r="B1351" s="166"/>
      <c r="C1351" s="166"/>
      <c r="D1351" s="1558" t="str">
        <f>Translations!$B$674</f>
        <v>Pakopos galioja nuo:</v>
      </c>
      <c r="E1351" s="1558"/>
      <c r="F1351" s="1559"/>
      <c r="G1351" s="1052"/>
      <c r="H1351" s="615" t="str">
        <f>Translations!$B$675</f>
        <v>iki:</v>
      </c>
      <c r="I1351" s="1052"/>
      <c r="J1351" s="1536" t="str">
        <f>Translations!$B$676</f>
        <v>Atliekų katalogo numeris (jeigu taikytina):</v>
      </c>
      <c r="K1351" s="1537"/>
      <c r="L1351" s="1537"/>
      <c r="M1351" s="1538"/>
      <c r="N1351" s="1289"/>
      <c r="O1351" s="733"/>
      <c r="P1351" s="33"/>
      <c r="Q1351" s="33"/>
      <c r="R1351" s="33"/>
      <c r="S1351" s="1290"/>
      <c r="T1351" s="492"/>
      <c r="U1351" s="492"/>
      <c r="V1351" s="48" t="b">
        <f>IF(V1341="",FALSE,INDEX(CNTR_IsWaste,MATCH(V1341,MSParameters!$A$218:$A$376,0)))</f>
        <v>0</v>
      </c>
      <c r="W1351" s="1290"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4.5" hidden="1" customHeight="1">
      <c r="A1352" s="808"/>
      <c r="B1352" s="166"/>
      <c r="C1352" s="166"/>
      <c r="D1352" s="615"/>
      <c r="E1352" s="495"/>
      <c r="F1352" s="495"/>
      <c r="G1352" s="495"/>
      <c r="H1352" s="495"/>
      <c r="I1352" s="495"/>
      <c r="J1352" s="495"/>
      <c r="K1352" s="495"/>
      <c r="L1352" s="495"/>
      <c r="M1352" s="495"/>
      <c r="N1352" s="495"/>
      <c r="O1352" s="733"/>
      <c r="P1352" s="33"/>
      <c r="Q1352" s="33"/>
      <c r="R1352" s="33"/>
      <c r="S1352" s="174"/>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hidden="1" customHeight="1">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3"/>
      <c r="Q1353" s="33"/>
      <c r="R1353" s="33"/>
      <c r="S1353" s="174"/>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hidden="1" customHeight="1">
      <c r="A1354" s="815"/>
      <c r="D1354" s="180"/>
      <c r="O1354" s="573"/>
      <c r="P1354" s="497"/>
      <c r="Q1354" s="497"/>
      <c r="R1354" s="497"/>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hidden="1">
      <c r="A1355" s="815"/>
      <c r="D1355" s="1534" t="str">
        <f>Translations!$B$160</f>
        <v>Pastabos:</v>
      </c>
      <c r="E1355" s="1535"/>
      <c r="F1355" s="1539"/>
      <c r="G1355" s="1540"/>
      <c r="H1355" s="1540"/>
      <c r="I1355" s="1540"/>
      <c r="J1355" s="1540"/>
      <c r="K1355" s="1540"/>
      <c r="L1355" s="1540"/>
      <c r="M1355" s="1540"/>
      <c r="N1355" s="1541"/>
      <c r="O1355" s="573"/>
      <c r="P1355" s="497"/>
      <c r="Q1355" s="497"/>
      <c r="R1355" s="497"/>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c r="A1356" s="808"/>
      <c r="B1356" s="495"/>
      <c r="C1356" s="499"/>
      <c r="D1356" s="500"/>
      <c r="E1356" s="501"/>
      <c r="F1356" s="499"/>
      <c r="G1356" s="502"/>
      <c r="H1356" s="502"/>
      <c r="I1356" s="502"/>
      <c r="J1356" s="502"/>
      <c r="K1356" s="502"/>
      <c r="L1356" s="502"/>
      <c r="M1356" s="502"/>
      <c r="N1356" s="502"/>
      <c r="O1356" s="740"/>
      <c r="P1356" s="494"/>
      <c r="Q1356" s="494"/>
      <c r="R1356" s="494"/>
      <c r="S1356" s="58"/>
      <c r="T1356" s="58"/>
      <c r="U1356" s="498"/>
      <c r="V1356" s="58"/>
      <c r="W1356" s="58"/>
      <c r="X1356" s="49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c r="A1357" s="813"/>
      <c r="B1357" s="495"/>
      <c r="C1357" s="495"/>
      <c r="D1357" s="180"/>
      <c r="E1357" s="496"/>
      <c r="F1357" s="495"/>
      <c r="G1357" s="487"/>
      <c r="H1357" s="487"/>
      <c r="I1357" s="487"/>
      <c r="J1357" s="487"/>
      <c r="K1357" s="495"/>
      <c r="L1357" s="487"/>
      <c r="M1357" s="487"/>
      <c r="N1357" s="487"/>
      <c r="O1357" s="740"/>
      <c r="P1357" s="494"/>
      <c r="Q1357" s="494"/>
      <c r="R1357" s="494"/>
      <c r="S1357" s="23"/>
      <c r="T1357" s="27" t="str">
        <f>IF(ISBLANK(E1358),"",MATCH(E1358,CNTR_SourceStreamNames,0))</f>
        <v/>
      </c>
      <c r="U1357" s="618"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1"/>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3" t="s">
        <v>262</v>
      </c>
    </row>
    <row r="1358" spans="1:78" s="142" customFormat="1" ht="15" hidden="1" customHeight="1" thickBot="1">
      <c r="A1358" s="869" t="str">
        <f>IF(E1358="","","PRINT")</f>
        <v/>
      </c>
      <c r="B1358" s="166"/>
      <c r="C1358" s="617">
        <f>C1331+1</f>
        <v>49</v>
      </c>
      <c r="D1358" s="166"/>
      <c r="E1358" s="1542"/>
      <c r="F1358" s="1543"/>
      <c r="G1358" s="1543"/>
      <c r="H1358" s="1543"/>
      <c r="I1358" s="1543"/>
      <c r="J1358" s="1544"/>
      <c r="K1358" s="1545" t="str">
        <f>IF(E1359="","",INDEX(EUwideConstants!$F$353:$F$394,MATCH(E1359,EUConst_TierActivityListNames,0)))</f>
        <v/>
      </c>
      <c r="L1358" s="1546"/>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3"/>
      <c r="T1358" s="509" t="s">
        <v>393</v>
      </c>
      <c r="U1358" s="23"/>
      <c r="V1358" s="78"/>
      <c r="W1358" s="56"/>
      <c r="X1358" s="58"/>
      <c r="Y1358" s="58"/>
      <c r="Z1358" s="58"/>
      <c r="AA1358" s="58"/>
      <c r="AB1358" s="58"/>
      <c r="AC1358" s="58"/>
      <c r="AD1358" s="58"/>
      <c r="AE1358" s="58"/>
      <c r="AF1358" s="58"/>
      <c r="AG1358" s="58"/>
      <c r="AH1358" s="58"/>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6"/>
      <c r="BZ1358" s="619" t="b">
        <f>CNTR_CalcRelevant=EUconst_NotRelevant</f>
        <v>0</v>
      </c>
    </row>
    <row r="1359" spans="1:78" s="142" customFormat="1" ht="15" hidden="1" customHeight="1" thickBot="1">
      <c r="A1359" s="808"/>
      <c r="B1359" s="166"/>
      <c r="C1359" s="166"/>
      <c r="D1359" s="166"/>
      <c r="E1359" s="1547" t="str">
        <f>IF(ISBLANK(E1358),"",IF(INDEX(B_InstallationDescription!$E$71:$E$145,MATCH(U1357,B_InstallationDescription!$D$71:$D$145,0))&gt;0,INDEX(B_InstallationDescription!$E$71:$E$145,MATCH(U1357,B_InstallationDescription!$D$71:$D$145,0)),""))</f>
        <v/>
      </c>
      <c r="F1359" s="1548"/>
      <c r="G1359" s="1548"/>
      <c r="H1359" s="1548"/>
      <c r="I1359" s="1548"/>
      <c r="J1359" s="1549"/>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4"/>
      <c r="AH1359" s="30"/>
      <c r="AI1359" s="30"/>
      <c r="AJ1359" s="504"/>
      <c r="AK1359" s="504"/>
      <c r="AL1359" s="342"/>
      <c r="AM1359" s="27" t="s">
        <v>308</v>
      </c>
      <c r="AN1359" s="505"/>
      <c r="AO1359" s="505"/>
      <c r="AP1359" s="30"/>
      <c r="AQ1359" s="30"/>
      <c r="AR1359" s="30"/>
      <c r="AS1359" s="30"/>
      <c r="AT1359" s="30"/>
      <c r="AU1359" s="30"/>
      <c r="AV1359" s="27" t="s">
        <v>315</v>
      </c>
      <c r="AW1359" s="30"/>
      <c r="AX1359" s="492"/>
      <c r="AY1359" s="30"/>
      <c r="AZ1359" s="30"/>
      <c r="BA1359" s="30"/>
      <c r="BB1359" s="27" t="s">
        <v>219</v>
      </c>
      <c r="BC1359" s="30"/>
      <c r="BD1359" s="30"/>
      <c r="BE1359" s="30"/>
      <c r="BF1359" s="30"/>
      <c r="BG1359" s="27"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0"/>
      <c r="BZ1359" s="30"/>
    </row>
    <row r="1360" spans="1:78" s="142" customFormat="1" ht="5.0999999999999996" hidden="1" customHeight="1">
      <c r="A1360" s="808"/>
      <c r="B1360" s="166"/>
      <c r="C1360" s="166"/>
      <c r="D1360" s="166"/>
      <c r="E1360" s="166"/>
      <c r="F1360" s="166"/>
      <c r="G1360" s="166"/>
      <c r="M1360" s="143"/>
      <c r="N1360" s="143"/>
      <c r="O1360" s="733"/>
      <c r="P1360" s="33"/>
      <c r="Q1360" s="33"/>
      <c r="R1360" s="33"/>
      <c r="S1360" s="23"/>
      <c r="T1360" s="23"/>
      <c r="U1360" s="23"/>
      <c r="V1360" s="78"/>
      <c r="W1360" s="30"/>
      <c r="X1360" s="30"/>
      <c r="Y1360" s="494"/>
      <c r="Z1360" s="30"/>
      <c r="AA1360" s="30"/>
      <c r="AB1360" s="30"/>
      <c r="AC1360" s="30"/>
      <c r="AD1360" s="30"/>
      <c r="AE1360" s="30"/>
      <c r="AF1360" s="58"/>
      <c r="AG1360" s="30"/>
      <c r="AH1360" s="30"/>
      <c r="AI1360" s="30"/>
      <c r="AJ1360" s="504"/>
      <c r="AK1360" s="504"/>
      <c r="AL1360" s="342"/>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hidden="1" customHeight="1" thickBot="1">
      <c r="A1361" s="808"/>
      <c r="B1361" s="166"/>
      <c r="C1361" s="166"/>
      <c r="D1361" s="166"/>
      <c r="E1361" s="1550" t="str">
        <f>IF(E1358="","",IF(T1359=TRUE,HYPERLINK("#JUMP_14",EUconst_MsgGoOnPFC),HYPERLINK("#JUMP_E_8",EUconst_FurtherGuidancePoint1)))</f>
        <v/>
      </c>
      <c r="F1361" s="1550"/>
      <c r="G1361" s="1550"/>
      <c r="H1361" s="1550"/>
      <c r="I1361" s="1550"/>
      <c r="J1361" s="1550"/>
      <c r="K1361" s="1550"/>
      <c r="L1361" s="1550"/>
      <c r="M1361" s="1550"/>
      <c r="N1361" s="143"/>
      <c r="O1361" s="733"/>
      <c r="P1361" s="33"/>
      <c r="Q1361" s="352" t="str">
        <f>EUconst_SumNonSustBioCO2 &amp; "_" &amp; K1358</f>
        <v>SUM_bioNonSustCO2_</v>
      </c>
      <c r="R1361" s="707"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4"/>
      <c r="AK1361" s="504"/>
      <c r="AL1361" s="342"/>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hidden="1" customHeight="1">
      <c r="A1362" s="808"/>
      <c r="B1362" s="166"/>
      <c r="C1362" s="166"/>
      <c r="D1362" s="166"/>
      <c r="E1362" s="166"/>
      <c r="F1362" s="166"/>
      <c r="G1362" s="166"/>
      <c r="M1362" s="143"/>
      <c r="N1362" s="143"/>
      <c r="O1362" s="733"/>
      <c r="P1362" s="23"/>
      <c r="Q1362" s="23"/>
      <c r="R1362" s="23"/>
      <c r="S1362" s="23"/>
      <c r="T1362" s="23"/>
      <c r="U1362" s="23"/>
      <c r="V1362" s="30"/>
      <c r="W1362" s="30"/>
      <c r="X1362" s="30"/>
      <c r="Y1362" s="494"/>
      <c r="Z1362" s="30"/>
      <c r="AA1362" s="30"/>
      <c r="AB1362" s="30"/>
      <c r="AC1362" s="30"/>
      <c r="AD1362" s="30"/>
      <c r="AE1362" s="30"/>
      <c r="AF1362" s="58"/>
      <c r="AG1362" s="30"/>
      <c r="AH1362" s="30"/>
      <c r="AI1362" s="30"/>
      <c r="AJ1362" s="504"/>
      <c r="AK1362" s="504"/>
      <c r="AL1362" s="342"/>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hidden="1" customHeight="1" thickBot="1">
      <c r="A1363" s="808"/>
      <c r="B1363" s="166"/>
      <c r="C1363" s="814" t="s">
        <v>4</v>
      </c>
      <c r="D1363" s="512" t="str">
        <f>Translations!$B$622</f>
        <v>VD:</v>
      </c>
      <c r="E1363" s="1560" t="str">
        <f>Translations!$B$667</f>
        <v>Ar veiklos duomenys gaunami sudedant išmatuotus kiekius (t. y. ne atliekant nuolatinius matavimus)?</v>
      </c>
      <c r="F1363" s="1560"/>
      <c r="G1363" s="1560"/>
      <c r="H1363" s="1560"/>
      <c r="I1363" s="1560"/>
      <c r="J1363" s="1560"/>
      <c r="K1363" s="1560"/>
      <c r="L1363" s="1179"/>
      <c r="M1363" s="507"/>
      <c r="O1363" s="733"/>
      <c r="P1363" s="23"/>
      <c r="Q1363" s="23"/>
      <c r="R1363" s="23"/>
      <c r="S1363" s="23"/>
      <c r="T1363" s="23"/>
      <c r="U1363" s="23"/>
      <c r="V1363" s="30"/>
      <c r="W1363" s="30"/>
      <c r="X1363" s="30"/>
      <c r="Y1363" s="494"/>
      <c r="Z1363" s="30"/>
      <c r="AA1363" s="30"/>
      <c r="AB1363" s="30"/>
      <c r="AC1363" s="1172" t="b">
        <f>AND(E1358&lt;&gt;"",T1359&lt;&gt;TRUE)</f>
        <v>0</v>
      </c>
      <c r="AD1363" s="30"/>
      <c r="AE1363" s="30"/>
      <c r="AF1363" s="58"/>
      <c r="AG1363" s="30"/>
      <c r="AH1363" s="30"/>
      <c r="AI1363" s="30"/>
      <c r="AJ1363" s="504"/>
      <c r="AK1363" s="504"/>
      <c r="AL1363" s="342"/>
      <c r="AM1363" s="30"/>
      <c r="AN1363" s="30"/>
      <c r="AO1363" s="30"/>
      <c r="AP1363" s="30"/>
      <c r="AQ1363" s="30"/>
      <c r="AR1363" s="30"/>
      <c r="AS1363" s="30"/>
      <c r="AT1363" s="1172"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2" t="b">
        <f>OR(CNTR_CalcRelevant=EUconst_NotRelevant,AND(COUNTA(CNTR_ListRelevantSections)&gt;0,OR(T1359=TRUE,E1358="")))</f>
        <v>1</v>
      </c>
    </row>
    <row r="1364" spans="1:78" s="142" customFormat="1" ht="4.5" hidden="1" customHeight="1">
      <c r="A1364" s="808"/>
      <c r="B1364" s="166"/>
      <c r="C1364" s="166"/>
      <c r="D1364" s="166"/>
      <c r="E1364" s="166"/>
      <c r="F1364" s="166"/>
      <c r="G1364" s="166"/>
      <c r="H1364" s="495"/>
      <c r="I1364" s="495"/>
      <c r="J1364" s="495"/>
      <c r="K1364" s="495"/>
      <c r="L1364" s="495"/>
      <c r="M1364" s="507"/>
      <c r="O1364" s="733"/>
      <c r="P1364" s="23"/>
      <c r="Q1364" s="23"/>
      <c r="R1364" s="23"/>
      <c r="S1364" s="23"/>
      <c r="T1364" s="23"/>
      <c r="U1364" s="23"/>
      <c r="V1364" s="30"/>
      <c r="W1364" s="30"/>
      <c r="X1364" s="30"/>
      <c r="Y1364" s="494"/>
      <c r="Z1364" s="30"/>
      <c r="AA1364" s="30"/>
      <c r="AB1364" s="30"/>
      <c r="AC1364" s="492"/>
      <c r="AD1364" s="30"/>
      <c r="AE1364" s="30"/>
      <c r="AF1364" s="58"/>
      <c r="AG1364" s="30"/>
      <c r="AH1364" s="30"/>
      <c r="AI1364" s="30"/>
      <c r="AJ1364" s="504"/>
      <c r="AK1364" s="504"/>
      <c r="AL1364" s="342"/>
      <c r="AM1364" s="30"/>
      <c r="AN1364" s="30"/>
      <c r="AO1364" s="30"/>
      <c r="AP1364" s="30"/>
      <c r="AQ1364" s="30"/>
      <c r="AR1364" s="30"/>
      <c r="AS1364" s="30"/>
      <c r="AT1364" s="492"/>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2"/>
    </row>
    <row r="1365" spans="1:78" s="142" customFormat="1" ht="12.75" hidden="1" customHeight="1" thickBot="1">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3"/>
      <c r="Q1365" s="23"/>
      <c r="R1365" s="23"/>
      <c r="S1365" s="23"/>
      <c r="T1365" s="23"/>
      <c r="U1365" s="23"/>
      <c r="V1365" s="30"/>
      <c r="W1365" s="30"/>
      <c r="X1365" s="30"/>
      <c r="Y1365" s="494"/>
      <c r="Z1365" s="30"/>
      <c r="AA1365" s="30"/>
      <c r="AB1365" s="30"/>
      <c r="AC1365" s="1172" t="b">
        <f>AC1363</f>
        <v>0</v>
      </c>
      <c r="AD1365" s="30"/>
      <c r="AE1365" s="30"/>
      <c r="AF1365" s="58"/>
      <c r="AG1365" s="30"/>
      <c r="AH1365" s="30"/>
      <c r="AI1365" s="30"/>
      <c r="AJ1365" s="504"/>
      <c r="AK1365" s="504"/>
      <c r="AL1365" s="342"/>
      <c r="AM1365" s="30"/>
      <c r="AN1365" s="30"/>
      <c r="AO1365" s="30"/>
      <c r="AP1365" s="30"/>
      <c r="AQ1365" s="30"/>
      <c r="AR1365" s="30"/>
      <c r="AS1365" s="30"/>
      <c r="AT1365" s="1172"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2" t="b">
        <f>OR(BZ1363,AND(NOT(ISBLANK(L1363)),L1363=FALSE))</f>
        <v>1</v>
      </c>
    </row>
    <row r="1366" spans="1:78" s="142" customFormat="1" ht="5.0999999999999996" hidden="1" customHeight="1">
      <c r="A1366" s="808"/>
      <c r="B1366" s="166"/>
      <c r="C1366" s="166"/>
      <c r="D1366" s="166"/>
      <c r="E1366" s="166"/>
      <c r="F1366" s="166"/>
      <c r="G1366" s="166"/>
      <c r="M1366" s="143"/>
      <c r="N1366" s="143"/>
      <c r="O1366" s="733"/>
      <c r="P1366" s="23"/>
      <c r="Q1366" s="23"/>
      <c r="R1366" s="23"/>
      <c r="S1366" s="23"/>
      <c r="T1366" s="23"/>
      <c r="U1366" s="23"/>
      <c r="V1366" s="30"/>
      <c r="W1366" s="30"/>
      <c r="X1366" s="30"/>
      <c r="Y1366" s="494"/>
      <c r="Z1366" s="30"/>
      <c r="AA1366" s="30"/>
      <c r="AB1366" s="30"/>
      <c r="AC1366" s="30"/>
      <c r="AD1366" s="30"/>
      <c r="AE1366" s="30"/>
      <c r="AF1366" s="58"/>
      <c r="AG1366" s="30"/>
      <c r="AH1366" s="30"/>
      <c r="AI1366" s="30"/>
      <c r="AJ1366" s="504"/>
      <c r="AK1366" s="504"/>
      <c r="AL1366" s="342"/>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hidden="1" customHeight="1" thickBot="1">
      <c r="A1367" s="808"/>
      <c r="B1367" s="166"/>
      <c r="C1367" s="166"/>
      <c r="D1367" s="166"/>
      <c r="E1367" s="166"/>
      <c r="F1367" s="506" t="str">
        <f>Translations!$B$333</f>
        <v>Pakopa</v>
      </c>
      <c r="G1367" s="1557" t="str">
        <f>Translations!$B$672</f>
        <v>pakopos aprašas</v>
      </c>
      <c r="H1367" s="1557"/>
      <c r="I1367" s="1555" t="str">
        <f>Translations!$B$158</f>
        <v>Vienetas</v>
      </c>
      <c r="J1367" s="1555"/>
      <c r="K1367" s="1555" t="str">
        <f>Translations!$B$673</f>
        <v>Vertė</v>
      </c>
      <c r="L1367" s="1555"/>
      <c r="M1367" s="507" t="str">
        <f>Translations!$B$610</f>
        <v>klaida</v>
      </c>
      <c r="O1367" s="733"/>
      <c r="P1367" s="508"/>
      <c r="Q1367" s="352" t="str">
        <f>EUconst_SumEnergyIN &amp; "_" &amp; K1358</f>
        <v>SUM_EnergyIN_</v>
      </c>
      <c r="R1367" s="399" t="str">
        <f>IF(OR(K1358="",T1359)=TRUE,"",INDEX(BC1373:BE1373,MATCH(K1358,BC1368:BE1368,0)))</f>
        <v/>
      </c>
      <c r="S1367" s="30"/>
      <c r="T1367" s="489"/>
      <c r="U1367" s="30"/>
      <c r="V1367" s="509" t="s">
        <v>303</v>
      </c>
      <c r="W1367" s="30"/>
      <c r="X1367" s="30"/>
      <c r="Y1367" s="494" t="s">
        <v>566</v>
      </c>
      <c r="Z1367" s="494" t="s">
        <v>318</v>
      </c>
      <c r="AA1367" s="30"/>
      <c r="AB1367" s="30"/>
      <c r="AC1367" s="505" t="s">
        <v>309</v>
      </c>
      <c r="AD1367" s="30"/>
      <c r="AE1367" s="30"/>
      <c r="AF1367" s="492" t="s">
        <v>305</v>
      </c>
      <c r="AG1367" s="492" t="s">
        <v>306</v>
      </c>
      <c r="AH1367" s="494" t="s">
        <v>304</v>
      </c>
      <c r="AI1367" s="504" t="s">
        <v>307</v>
      </c>
      <c r="AJ1367" s="504" t="s">
        <v>567</v>
      </c>
      <c r="AK1367" s="510" t="s">
        <v>311</v>
      </c>
      <c r="AL1367" s="342"/>
      <c r="AM1367" s="30"/>
      <c r="AN1367" s="492" t="s">
        <v>305</v>
      </c>
      <c r="AO1367" s="492" t="s">
        <v>306</v>
      </c>
      <c r="AP1367" s="511" t="s">
        <v>310</v>
      </c>
      <c r="AQ1367" s="504" t="s">
        <v>569</v>
      </c>
      <c r="AR1367" s="504" t="s">
        <v>568</v>
      </c>
      <c r="AS1367" s="510" t="s">
        <v>609</v>
      </c>
      <c r="AT1367" s="510" t="s">
        <v>609</v>
      </c>
      <c r="AU1367" s="30"/>
      <c r="AV1367" s="492"/>
      <c r="AW1367" s="492"/>
      <c r="AX1367" s="492" t="s">
        <v>321</v>
      </c>
      <c r="AY1367" s="492"/>
      <c r="AZ1367" s="492"/>
      <c r="BA1367" s="492"/>
      <c r="BB1367" s="492"/>
      <c r="BC1367" s="492"/>
      <c r="BD1367" s="492"/>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3" t="s">
        <v>262</v>
      </c>
    </row>
    <row r="1368" spans="1:78" s="142" customFormat="1" ht="12.75" hidden="1" customHeight="1" thickBot="1">
      <c r="A1368" s="808"/>
      <c r="B1368" s="166"/>
      <c r="C1368" s="777" t="s">
        <v>196</v>
      </c>
      <c r="D1368" s="512" t="str">
        <f>Translations!$B$622</f>
        <v>VD:</v>
      </c>
      <c r="E1368" s="513"/>
      <c r="F1368" s="402"/>
      <c r="G1368" s="1532" t="str">
        <f>IF(OR(ISBLANK(F1368),F1368=EUconst_NoTier),"",IF(Z1368=0,EUconst_NA,IF(ISERROR(Z1368),"",Z1368)))</f>
        <v/>
      </c>
      <c r="H1368" s="1533"/>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0"/>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0"/>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0"/>
      <c r="AV1368" s="492" t="s">
        <v>314</v>
      </c>
      <c r="AW1368" s="492" t="s">
        <v>319</v>
      </c>
      <c r="AX1368" s="524"/>
      <c r="AY1368" s="30" t="s">
        <v>542</v>
      </c>
      <c r="AZ1368" s="30"/>
      <c r="BA1368" s="30"/>
      <c r="BB1368" s="504"/>
      <c r="BC1368" s="493" t="str">
        <f>EUconst_Fuel</f>
        <v>Degimas</v>
      </c>
      <c r="BD1368" s="493" t="str">
        <f>EUconst_ProcessCarbonate</f>
        <v>Proceso metu išsiskiriančios ŠESD</v>
      </c>
      <c r="BE1368" s="493"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4" t="b">
        <f>BZ1363</f>
        <v>1</v>
      </c>
    </row>
    <row r="1369" spans="1:78" s="142" customFormat="1" ht="5.0999999999999996" hidden="1" customHeight="1">
      <c r="A1369" s="808"/>
      <c r="B1369" s="166"/>
      <c r="C1369" s="814"/>
      <c r="D1369" s="306"/>
      <c r="F1369" s="143"/>
      <c r="G1369" s="143"/>
      <c r="H1369" s="143" t="s">
        <v>236</v>
      </c>
      <c r="I1369" s="525"/>
      <c r="J1369" s="525"/>
      <c r="K1369" s="143"/>
      <c r="L1369" s="143"/>
      <c r="M1369" s="710"/>
      <c r="O1369" s="733"/>
      <c r="P1369" s="33"/>
      <c r="Q1369" s="33"/>
      <c r="R1369" s="33"/>
      <c r="S1369" s="30"/>
      <c r="T1369" s="155"/>
      <c r="U1369" s="497"/>
      <c r="V1369" s="30"/>
      <c r="W1369" s="30"/>
      <c r="X1369" s="497"/>
      <c r="Y1369" s="526"/>
      <c r="Z1369" s="30"/>
      <c r="AA1369" s="30"/>
      <c r="AB1369" s="30"/>
      <c r="AC1369" s="30"/>
      <c r="AD1369" s="30"/>
      <c r="AE1369" s="30"/>
      <c r="AF1369" s="30"/>
      <c r="AG1369" s="30"/>
      <c r="AH1369" s="30"/>
      <c r="AI1369" s="30"/>
      <c r="AJ1369" s="30"/>
      <c r="AK1369" s="30"/>
      <c r="AL1369" s="342"/>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3"/>
    </row>
    <row r="1370" spans="1:78" s="142" customFormat="1" ht="12.75" hidden="1" customHeight="1" thickBot="1">
      <c r="A1370" s="808"/>
      <c r="B1370" s="166"/>
      <c r="C1370" s="814" t="s">
        <v>197</v>
      </c>
      <c r="D1370" s="512" t="str">
        <f>Translations!$B$634</f>
        <v>(prelim.) ITF:</v>
      </c>
      <c r="E1370" s="513"/>
      <c r="F1370" s="527"/>
      <c r="G1370" s="1532" t="str">
        <f t="shared" ref="G1370:G1376" si="336">IF(OR(ISBLANK(F1370),F1370=EUconst_NoTier),"",IF(Z1370=0,EUconst_NotApplicable,IF(ISERROR(Z1370),"",Z1370)))</f>
        <v/>
      </c>
      <c r="H1370" s="1556"/>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3"/>
      <c r="Q1370" s="33"/>
      <c r="R1370" s="33"/>
      <c r="S1370" s="30"/>
      <c r="T1370" s="530" t="str">
        <f>EUconst_CNTR_EF&amp;E1359</f>
        <v>EF_</v>
      </c>
      <c r="U1370" s="497"/>
      <c r="V1370" s="531" t="str">
        <f>V1368</f>
        <v/>
      </c>
      <c r="W1370" s="30"/>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0"/>
      <c r="AC1370" s="535" t="b">
        <f>AND(AC1368,Y1370&lt;&gt;EUconst_NA)</f>
        <v>0</v>
      </c>
      <c r="AD1370" s="30"/>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0"/>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0"/>
      <c r="BA1370" s="30"/>
      <c r="BB1370" s="547" t="s">
        <v>594</v>
      </c>
      <c r="BC1370" s="546" t="str">
        <f>IF(K1358=BC1368,AR1368*IF(AJ1370=EUconst_tCO2pTJ,(AR1371/1000),1)*AR1370*AR1372*AR1376,"")</f>
        <v/>
      </c>
      <c r="BD1370" s="524" t="str">
        <f>IF(K1358=BD1368,AR1368*AR1370*AR1373*AR1376,"")</f>
        <v/>
      </c>
      <c r="BE1370" s="523"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1" t="b">
        <f>OR(BZ1368,Y1370=EUconst_NA)</f>
        <v>1</v>
      </c>
    </row>
    <row r="1371" spans="1:78" s="142" customFormat="1" ht="12.75" hidden="1" customHeight="1" thickBot="1">
      <c r="A1371" s="808"/>
      <c r="B1371" s="166"/>
      <c r="C1371" s="814" t="s">
        <v>198</v>
      </c>
      <c r="D1371" s="512" t="str">
        <f>Translations!$B$636</f>
        <v>GŠV:</v>
      </c>
      <c r="E1371" s="513"/>
      <c r="F1371" s="548"/>
      <c r="G1371" s="1532" t="str">
        <f t="shared" si="336"/>
        <v/>
      </c>
      <c r="H1371" s="1533"/>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3"/>
      <c r="Q1371" s="33"/>
      <c r="R1371" s="33"/>
      <c r="S1371" s="30"/>
      <c r="T1371" s="552" t="str">
        <f>EUconst_CNTR_NCV&amp;E1359</f>
        <v>NCV_</v>
      </c>
      <c r="U1371" s="497"/>
      <c r="V1371" s="553" t="str">
        <f t="shared" ref="V1371:V1376" si="342">V1370</f>
        <v/>
      </c>
      <c r="W1371" s="30"/>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0"/>
      <c r="AC1371" s="557" t="b">
        <f>AND(AC1368,Y1371&lt;&gt;EUconst_NA)</f>
        <v>0</v>
      </c>
      <c r="AD1371" s="30"/>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0"/>
      <c r="AV1371" s="567" t="b">
        <f t="shared" si="339"/>
        <v>0</v>
      </c>
      <c r="AW1371" s="568" t="b">
        <f t="shared" si="340"/>
        <v>0</v>
      </c>
      <c r="AX1371" s="30"/>
      <c r="AY1371" s="553" t="b">
        <f t="shared" si="341"/>
        <v>0</v>
      </c>
      <c r="AZ1371" s="30"/>
      <c r="BA1371" s="30"/>
      <c r="BB1371" s="547" t="s">
        <v>595</v>
      </c>
      <c r="BC1371" s="546" t="str">
        <f>IF(K1358=BC1368,AR1368*IF(AJ1370=EUconst_tCO2pTJ,(AR1371/1000),1)*AR1370*AR1372*AR1375,"")</f>
        <v/>
      </c>
      <c r="BD1371" s="524" t="str">
        <f>IF(K1358=BD1368,AR1368*AR1370*AR1373*AR1375,"")</f>
        <v/>
      </c>
      <c r="BE1371" s="523"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3" t="b">
        <f>OR(BZ1368,Y1371=EUconst_NA)</f>
        <v>1</v>
      </c>
    </row>
    <row r="1372" spans="1:78" s="142" customFormat="1" ht="12.75" hidden="1" customHeight="1" thickBot="1">
      <c r="A1372" s="808"/>
      <c r="B1372" s="166"/>
      <c r="C1372" s="814" t="s">
        <v>199</v>
      </c>
      <c r="D1372" s="512" t="str">
        <f>Translations!$B$638</f>
        <v>OksK:</v>
      </c>
      <c r="E1372" s="513"/>
      <c r="F1372" s="548"/>
      <c r="G1372" s="1532" t="str">
        <f t="shared" si="336"/>
        <v/>
      </c>
      <c r="H1372" s="1533"/>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3"/>
      <c r="Q1372" s="33"/>
      <c r="R1372" s="33"/>
      <c r="S1372" s="30"/>
      <c r="T1372" s="552" t="str">
        <f>EUconst_CNTR_OxidationFactor&amp;E1359</f>
        <v>OxF_</v>
      </c>
      <c r="U1372" s="497"/>
      <c r="V1372" s="553" t="str">
        <f t="shared" si="342"/>
        <v/>
      </c>
      <c r="W1372" s="30"/>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0"/>
      <c r="AC1372" s="557" t="b">
        <f>AND(AC1368,Y1372&lt;&gt;EUconst_NA)</f>
        <v>0</v>
      </c>
      <c r="AD1372" s="30"/>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0"/>
      <c r="AV1372" s="567" t="b">
        <f t="shared" si="339"/>
        <v>0</v>
      </c>
      <c r="AW1372" s="568" t="b">
        <f t="shared" si="340"/>
        <v>0</v>
      </c>
      <c r="AX1372" s="30"/>
      <c r="AY1372" s="594" t="b">
        <f t="shared" si="341"/>
        <v>0</v>
      </c>
      <c r="AZ1372" s="531" t="b">
        <f>AR1372&gt;100%</f>
        <v>0</v>
      </c>
      <c r="BA1372" s="30"/>
      <c r="BB1372" s="547" t="s">
        <v>290</v>
      </c>
      <c r="BC1372" s="546" t="str">
        <f>IF(K1358=BC1368,AR1368*IF(AJ1370=EUconst_tCO2pTJ,(AR1371/1000),1)*AR1370*AR1372*(1-AR1375),"")</f>
        <v/>
      </c>
      <c r="BD1372" s="524" t="str">
        <f>IF(K1358=BD1368,AR1368*AR1370*AR1373*(1-AR1375),"")</f>
        <v/>
      </c>
      <c r="BE1372" s="523"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3" t="b">
        <f>OR(BZ1368,Y1372=EUconst_NA)</f>
        <v>1</v>
      </c>
    </row>
    <row r="1373" spans="1:78" s="142" customFormat="1" ht="12.75" hidden="1" customHeight="1" thickBot="1">
      <c r="A1373" s="808"/>
      <c r="B1373" s="166"/>
      <c r="C1373" s="814" t="s">
        <v>200</v>
      </c>
      <c r="D1373" s="512" t="str">
        <f>Translations!$B$639</f>
        <v>KonvK:</v>
      </c>
      <c r="E1373" s="513"/>
      <c r="F1373" s="548"/>
      <c r="G1373" s="1532" t="str">
        <f t="shared" si="336"/>
        <v/>
      </c>
      <c r="H1373" s="1533"/>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3"/>
      <c r="Q1373" s="33"/>
      <c r="R1373" s="33"/>
      <c r="S1373" s="30"/>
      <c r="T1373" s="552" t="str">
        <f>EUconst_CNTR_ConversionFactor&amp;E1359</f>
        <v>ConvF_</v>
      </c>
      <c r="U1373" s="497"/>
      <c r="V1373" s="553" t="str">
        <f t="shared" si="342"/>
        <v/>
      </c>
      <c r="W1373" s="30"/>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0"/>
      <c r="AC1373" s="557" t="b">
        <f>AND(AC1368,Y1373&lt;&gt;EUconst_NA)</f>
        <v>0</v>
      </c>
      <c r="AD1373" s="30"/>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0"/>
      <c r="AV1373" s="567" t="b">
        <f t="shared" si="339"/>
        <v>0</v>
      </c>
      <c r="AW1373" s="568" t="b">
        <f t="shared" si="340"/>
        <v>0</v>
      </c>
      <c r="AX1373" s="30"/>
      <c r="AY1373" s="594" t="b">
        <f t="shared" si="341"/>
        <v>0</v>
      </c>
      <c r="AZ1373" s="580" t="b">
        <f>AR1373&gt;100%</f>
        <v>0</v>
      </c>
      <c r="BA1373" s="30"/>
      <c r="BB1373" s="578" t="s">
        <v>487</v>
      </c>
      <c r="BC1373" s="579">
        <f>AR1368*AR1371/1000*(1-AR1375)</f>
        <v>0</v>
      </c>
      <c r="BD1373" s="580">
        <f>BC1373</f>
        <v>0</v>
      </c>
      <c r="BE1373" s="581">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3" t="b">
        <f>OR(BZ1368,Y1373=EUconst_NA)</f>
        <v>1</v>
      </c>
    </row>
    <row r="1374" spans="1:78" s="142" customFormat="1" ht="12.75" hidden="1" customHeight="1" thickBot="1">
      <c r="A1374" s="808"/>
      <c r="B1374" s="166"/>
      <c r="C1374" s="814" t="s">
        <v>329</v>
      </c>
      <c r="D1374" s="512" t="str">
        <f>Translations!$B$640</f>
        <v>AnglK:</v>
      </c>
      <c r="E1374" s="513"/>
      <c r="F1374" s="548"/>
      <c r="G1374" s="1532" t="str">
        <f t="shared" si="336"/>
        <v/>
      </c>
      <c r="H1374" s="1533"/>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3"/>
      <c r="Q1374" s="33"/>
      <c r="R1374" s="33"/>
      <c r="S1374" s="30"/>
      <c r="T1374" s="552" t="str">
        <f>EUconst_CNTR_CarbonContent&amp;E1359</f>
        <v>CarbC_</v>
      </c>
      <c r="U1374" s="497"/>
      <c r="V1374" s="553" t="str">
        <f t="shared" si="342"/>
        <v/>
      </c>
      <c r="W1374" s="30"/>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0"/>
      <c r="AC1374" s="557" t="b">
        <f>AND(AC1368,Y1374&lt;&gt;EUconst_NA)</f>
        <v>0</v>
      </c>
      <c r="AD1374" s="30"/>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0"/>
      <c r="AV1374" s="567" t="b">
        <f t="shared" si="339"/>
        <v>0</v>
      </c>
      <c r="AW1374" s="568" t="b">
        <f t="shared" si="340"/>
        <v>0</v>
      </c>
      <c r="AX1374" s="546" t="b">
        <f>OR(AND(AJ1368=EUconst_kNm3,AJ1374=EUconst_tCpt),AND(AJ1368=EUconst_t,AJ1374=EUconst_tCpkNm3))</f>
        <v>0</v>
      </c>
      <c r="AY1374" s="553" t="b">
        <f t="shared" si="341"/>
        <v>0</v>
      </c>
      <c r="AZ1374" s="30"/>
      <c r="BA1374" s="30"/>
      <c r="BB1374" s="578" t="s">
        <v>488</v>
      </c>
      <c r="BC1374" s="579">
        <f>AR1368*AR1371/1000*AR1375</f>
        <v>0</v>
      </c>
      <c r="BD1374" s="580">
        <f>BC1374</f>
        <v>0</v>
      </c>
      <c r="BE1374" s="581">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3" t="b">
        <f>OR(BZ1368,Y1374=EUconst_NA)</f>
        <v>1</v>
      </c>
    </row>
    <row r="1375" spans="1:78" s="142" customFormat="1" ht="12.75" hidden="1" customHeight="1">
      <c r="A1375" s="808"/>
      <c r="B1375" s="166"/>
      <c r="C1375" s="777" t="s">
        <v>330</v>
      </c>
      <c r="D1375" s="512" t="str">
        <f>Translations!$B$641</f>
        <v>BioC:</v>
      </c>
      <c r="E1375" s="513"/>
      <c r="F1375" s="548"/>
      <c r="G1375" s="1532" t="str">
        <f t="shared" si="336"/>
        <v/>
      </c>
      <c r="H1375" s="1533"/>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0"/>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0"/>
      <c r="AC1375" s="557" t="b">
        <f>AND(AC1368,Y1375&lt;&gt;EUconst_NA)</f>
        <v>0</v>
      </c>
      <c r="AD1375" s="30"/>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0"/>
      <c r="AV1375" s="567" t="b">
        <f t="shared" si="339"/>
        <v>0</v>
      </c>
      <c r="AW1375" s="568" t="b">
        <f t="shared" si="340"/>
        <v>0</v>
      </c>
      <c r="AX1375" s="30"/>
      <c r="AY1375" s="594" t="b">
        <f t="shared" si="341"/>
        <v>0</v>
      </c>
      <c r="AZ1375" s="531"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3" t="b">
        <f>OR(BZ1368,Y1375=EUconst_NA)</f>
        <v>1</v>
      </c>
    </row>
    <row r="1376" spans="1:78" s="142" customFormat="1" ht="12.75" hidden="1" customHeight="1" thickBot="1">
      <c r="A1376" s="808"/>
      <c r="B1376" s="166"/>
      <c r="C1376" s="777" t="s">
        <v>454</v>
      </c>
      <c r="D1376" s="512" t="str">
        <f>Translations!$B$647</f>
        <v>Netvar. BioC:</v>
      </c>
      <c r="E1376" s="513"/>
      <c r="F1376" s="597"/>
      <c r="G1376" s="1532" t="str">
        <f t="shared" si="336"/>
        <v/>
      </c>
      <c r="H1376" s="1533"/>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0"/>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0"/>
      <c r="AC1376" s="603" t="b">
        <f>AND(AC1368,Y1376&lt;&gt;EUconst_NA)</f>
        <v>0</v>
      </c>
      <c r="AD1376" s="30"/>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0"/>
      <c r="AV1376" s="613" t="b">
        <f t="shared" si="339"/>
        <v>0</v>
      </c>
      <c r="AW1376" s="614" t="b">
        <f t="shared" si="340"/>
        <v>0</v>
      </c>
      <c r="AX1376" s="30"/>
      <c r="AY1376" s="579" t="b">
        <f t="shared" si="341"/>
        <v>0</v>
      </c>
      <c r="AZ1376" s="580"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80" t="b">
        <f>OR(BZ1368,Y1376=EUconst_NA)</f>
        <v>1</v>
      </c>
    </row>
    <row r="1377" spans="1:78" s="142" customFormat="1" ht="4.5" hidden="1" customHeight="1">
      <c r="A1377" s="808"/>
      <c r="B1377" s="166"/>
      <c r="C1377" s="166"/>
      <c r="D1377" s="180"/>
      <c r="O1377" s="733"/>
      <c r="P1377" s="33"/>
      <c r="Q1377" s="33"/>
      <c r="R1377" s="33"/>
      <c r="S1377" s="174"/>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hidden="1" customHeight="1">
      <c r="A1378" s="808"/>
      <c r="B1378" s="166"/>
      <c r="C1378" s="166"/>
      <c r="D1378" s="1558" t="str">
        <f>Translations!$B$674</f>
        <v>Pakopos galioja nuo:</v>
      </c>
      <c r="E1378" s="1558"/>
      <c r="F1378" s="1559"/>
      <c r="G1378" s="1052"/>
      <c r="H1378" s="615" t="str">
        <f>Translations!$B$675</f>
        <v>iki:</v>
      </c>
      <c r="I1378" s="1052"/>
      <c r="J1378" s="1536" t="str">
        <f>Translations!$B$676</f>
        <v>Atliekų katalogo numeris (jeigu taikytina):</v>
      </c>
      <c r="K1378" s="1537"/>
      <c r="L1378" s="1537"/>
      <c r="M1378" s="1538"/>
      <c r="N1378" s="1289"/>
      <c r="O1378" s="733"/>
      <c r="P1378" s="33"/>
      <c r="Q1378" s="33"/>
      <c r="R1378" s="33"/>
      <c r="S1378" s="1290"/>
      <c r="T1378" s="492"/>
      <c r="U1378" s="492"/>
      <c r="V1378" s="48" t="b">
        <f>IF(V1368="",FALSE,INDEX(CNTR_IsWaste,MATCH(V1368,MSParameters!$A$218:$A$376,0)))</f>
        <v>0</v>
      </c>
      <c r="W1378" s="1290"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4.5" hidden="1" customHeight="1">
      <c r="A1379" s="808"/>
      <c r="B1379" s="166"/>
      <c r="C1379" s="166"/>
      <c r="D1379" s="615"/>
      <c r="E1379" s="495"/>
      <c r="F1379" s="495"/>
      <c r="G1379" s="495"/>
      <c r="H1379" s="495"/>
      <c r="I1379" s="495"/>
      <c r="J1379" s="495"/>
      <c r="K1379" s="495"/>
      <c r="L1379" s="495"/>
      <c r="M1379" s="495"/>
      <c r="N1379" s="495"/>
      <c r="O1379" s="733"/>
      <c r="P1379" s="33"/>
      <c r="Q1379" s="33"/>
      <c r="R1379" s="33"/>
      <c r="S1379" s="174"/>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hidden="1" customHeight="1">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3"/>
      <c r="Q1380" s="33"/>
      <c r="R1380" s="33"/>
      <c r="S1380" s="174"/>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hidden="1" customHeight="1">
      <c r="A1381" s="815"/>
      <c r="D1381" s="180"/>
      <c r="O1381" s="573"/>
      <c r="P1381" s="497"/>
      <c r="Q1381" s="497"/>
      <c r="R1381" s="497"/>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hidden="1">
      <c r="A1382" s="815"/>
      <c r="D1382" s="1534" t="str">
        <f>Translations!$B$160</f>
        <v>Pastabos:</v>
      </c>
      <c r="E1382" s="1535"/>
      <c r="F1382" s="1539"/>
      <c r="G1382" s="1540"/>
      <c r="H1382" s="1540"/>
      <c r="I1382" s="1540"/>
      <c r="J1382" s="1540"/>
      <c r="K1382" s="1540"/>
      <c r="L1382" s="1540"/>
      <c r="M1382" s="1540"/>
      <c r="N1382" s="1541"/>
      <c r="O1382" s="573"/>
      <c r="P1382" s="497"/>
      <c r="Q1382" s="497"/>
      <c r="R1382" s="497"/>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3" hidden="1" customHeight="1" thickBot="1">
      <c r="A1383" s="808"/>
      <c r="B1383" s="495"/>
      <c r="C1383" s="499"/>
      <c r="D1383" s="500"/>
      <c r="E1383" s="501"/>
      <c r="F1383" s="499"/>
      <c r="G1383" s="502"/>
      <c r="H1383" s="502"/>
      <c r="I1383" s="502"/>
      <c r="J1383" s="502"/>
      <c r="K1383" s="502"/>
      <c r="L1383" s="502"/>
      <c r="M1383" s="502"/>
      <c r="N1383" s="502"/>
      <c r="O1383" s="740"/>
      <c r="P1383" s="494"/>
      <c r="Q1383" s="494"/>
      <c r="R1383" s="494"/>
      <c r="S1383" s="58"/>
      <c r="T1383" s="58"/>
      <c r="U1383" s="498"/>
      <c r="V1383" s="58"/>
      <c r="W1383" s="58"/>
      <c r="X1383" s="498"/>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c r="A1384" s="813"/>
      <c r="B1384" s="495"/>
      <c r="C1384" s="495"/>
      <c r="D1384" s="180"/>
      <c r="E1384" s="496"/>
      <c r="F1384" s="495"/>
      <c r="G1384" s="487"/>
      <c r="H1384" s="487"/>
      <c r="I1384" s="487"/>
      <c r="J1384" s="487"/>
      <c r="K1384" s="495"/>
      <c r="L1384" s="487"/>
      <c r="M1384" s="487"/>
      <c r="N1384" s="487"/>
      <c r="O1384" s="740"/>
      <c r="P1384" s="494"/>
      <c r="Q1384" s="494"/>
      <c r="R1384" s="494"/>
      <c r="S1384" s="23"/>
      <c r="T1384" s="27" t="str">
        <f>IF(ISBLANK(E1385),"",MATCH(E1385,CNTR_SourceStreamNames,0))</f>
        <v/>
      </c>
      <c r="U1384" s="618"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1"/>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3" t="s">
        <v>262</v>
      </c>
    </row>
    <row r="1385" spans="1:78" s="142" customFormat="1" ht="15" hidden="1" customHeight="1" thickBot="1">
      <c r="A1385" s="869" t="str">
        <f>IF(E1385="","","PRINT")</f>
        <v/>
      </c>
      <c r="B1385" s="166"/>
      <c r="C1385" s="617">
        <f>C1358+1</f>
        <v>50</v>
      </c>
      <c r="D1385" s="166"/>
      <c r="E1385" s="1542"/>
      <c r="F1385" s="1543"/>
      <c r="G1385" s="1543"/>
      <c r="H1385" s="1543"/>
      <c r="I1385" s="1543"/>
      <c r="J1385" s="1544"/>
      <c r="K1385" s="1545" t="str">
        <f>IF(E1386="","",INDEX(EUwideConstants!$F$353:$F$394,MATCH(E1386,EUConst_TierActivityListNames,0)))</f>
        <v/>
      </c>
      <c r="L1385" s="1546"/>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3"/>
      <c r="T1385" s="509" t="s">
        <v>393</v>
      </c>
      <c r="U1385" s="23"/>
      <c r="V1385" s="78"/>
      <c r="W1385" s="56"/>
      <c r="X1385" s="58"/>
      <c r="Y1385" s="58"/>
      <c r="Z1385" s="58"/>
      <c r="AA1385" s="58"/>
      <c r="AB1385" s="58"/>
      <c r="AC1385" s="58"/>
      <c r="AD1385" s="58"/>
      <c r="AE1385" s="58"/>
      <c r="AF1385" s="58"/>
      <c r="AG1385" s="58"/>
      <c r="AH1385" s="58"/>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6"/>
      <c r="BZ1385" s="619" t="b">
        <f>CNTR_CalcRelevant=EUconst_NotRelevant</f>
        <v>0</v>
      </c>
    </row>
    <row r="1386" spans="1:78" s="142" customFormat="1" ht="15" hidden="1" customHeight="1" thickBot="1">
      <c r="A1386" s="808"/>
      <c r="B1386" s="166"/>
      <c r="C1386" s="166"/>
      <c r="D1386" s="166"/>
      <c r="E1386" s="1547" t="str">
        <f>IF(ISBLANK(E1385),"",IF(INDEX(B_InstallationDescription!$E$71:$E$145,MATCH(U1384,B_InstallationDescription!$D$71:$D$145,0))&gt;0,INDEX(B_InstallationDescription!$E$71:$E$145,MATCH(U1384,B_InstallationDescription!$D$71:$D$145,0)),""))</f>
        <v/>
      </c>
      <c r="F1386" s="1548"/>
      <c r="G1386" s="1548"/>
      <c r="H1386" s="1548"/>
      <c r="I1386" s="1548"/>
      <c r="J1386" s="1549"/>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4"/>
      <c r="AH1386" s="30"/>
      <c r="AI1386" s="30"/>
      <c r="AJ1386" s="504"/>
      <c r="AK1386" s="504"/>
      <c r="AL1386" s="342"/>
      <c r="AM1386" s="27" t="s">
        <v>308</v>
      </c>
      <c r="AN1386" s="505"/>
      <c r="AO1386" s="505"/>
      <c r="AP1386" s="30"/>
      <c r="AQ1386" s="30"/>
      <c r="AR1386" s="30"/>
      <c r="AS1386" s="30"/>
      <c r="AT1386" s="30"/>
      <c r="AU1386" s="30"/>
      <c r="AV1386" s="27" t="s">
        <v>315</v>
      </c>
      <c r="AW1386" s="30"/>
      <c r="AX1386" s="492"/>
      <c r="AY1386" s="30"/>
      <c r="AZ1386" s="30"/>
      <c r="BA1386" s="30"/>
      <c r="BB1386" s="27" t="s">
        <v>219</v>
      </c>
      <c r="BC1386" s="30"/>
      <c r="BD1386" s="30"/>
      <c r="BE1386" s="30"/>
      <c r="BF1386" s="30"/>
      <c r="BG1386" s="27"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0"/>
      <c r="BZ1386" s="30"/>
    </row>
    <row r="1387" spans="1:78" s="142" customFormat="1" ht="5.0999999999999996" hidden="1" customHeight="1">
      <c r="A1387" s="808"/>
      <c r="B1387" s="166"/>
      <c r="C1387" s="166"/>
      <c r="D1387" s="166"/>
      <c r="E1387" s="166"/>
      <c r="F1387" s="166"/>
      <c r="G1387" s="166"/>
      <c r="M1387" s="143"/>
      <c r="N1387" s="143"/>
      <c r="O1387" s="733"/>
      <c r="P1387" s="33"/>
      <c r="Q1387" s="33"/>
      <c r="R1387" s="33"/>
      <c r="S1387" s="23"/>
      <c r="T1387" s="23"/>
      <c r="U1387" s="23"/>
      <c r="V1387" s="78"/>
      <c r="W1387" s="30"/>
      <c r="X1387" s="30"/>
      <c r="Y1387" s="494"/>
      <c r="Z1387" s="30"/>
      <c r="AA1387" s="30"/>
      <c r="AB1387" s="30"/>
      <c r="AC1387" s="30"/>
      <c r="AD1387" s="30"/>
      <c r="AE1387" s="30"/>
      <c r="AF1387" s="58"/>
      <c r="AG1387" s="30"/>
      <c r="AH1387" s="30"/>
      <c r="AI1387" s="30"/>
      <c r="AJ1387" s="504"/>
      <c r="AK1387" s="504"/>
      <c r="AL1387" s="342"/>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hidden="1" customHeight="1" thickBot="1">
      <c r="A1388" s="808"/>
      <c r="B1388" s="166"/>
      <c r="C1388" s="166"/>
      <c r="D1388" s="166"/>
      <c r="E1388" s="1550" t="str">
        <f>IF(E1385="","",IF(T1386=TRUE,HYPERLINK("#JUMP_14",EUconst_MsgGoOnPFC),HYPERLINK("#JUMP_E_8",EUconst_FurtherGuidancePoint1)))</f>
        <v/>
      </c>
      <c r="F1388" s="1550"/>
      <c r="G1388" s="1550"/>
      <c r="H1388" s="1550"/>
      <c r="I1388" s="1550"/>
      <c r="J1388" s="1550"/>
      <c r="K1388" s="1550"/>
      <c r="L1388" s="1550"/>
      <c r="M1388" s="1550"/>
      <c r="N1388" s="143"/>
      <c r="O1388" s="733"/>
      <c r="P1388" s="33"/>
      <c r="Q1388" s="352" t="str">
        <f>EUconst_SumNonSustBioCO2 &amp; "_" &amp; K1385</f>
        <v>SUM_bioNonSustCO2_</v>
      </c>
      <c r="R1388" s="707"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4"/>
      <c r="AK1388" s="504"/>
      <c r="AL1388" s="342"/>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hidden="1" customHeight="1">
      <c r="A1389" s="808"/>
      <c r="B1389" s="166"/>
      <c r="C1389" s="166"/>
      <c r="D1389" s="166"/>
      <c r="E1389" s="166"/>
      <c r="F1389" s="166"/>
      <c r="G1389" s="166"/>
      <c r="M1389" s="143"/>
      <c r="N1389" s="143"/>
      <c r="O1389" s="733"/>
      <c r="P1389" s="23"/>
      <c r="Q1389" s="23"/>
      <c r="R1389" s="23"/>
      <c r="S1389" s="23"/>
      <c r="T1389" s="23"/>
      <c r="U1389" s="23"/>
      <c r="V1389" s="30"/>
      <c r="W1389" s="30"/>
      <c r="X1389" s="30"/>
      <c r="Y1389" s="494"/>
      <c r="Z1389" s="30"/>
      <c r="AA1389" s="30"/>
      <c r="AB1389" s="30"/>
      <c r="AC1389" s="30"/>
      <c r="AD1389" s="30"/>
      <c r="AE1389" s="30"/>
      <c r="AF1389" s="58"/>
      <c r="AG1389" s="30"/>
      <c r="AH1389" s="30"/>
      <c r="AI1389" s="30"/>
      <c r="AJ1389" s="504"/>
      <c r="AK1389" s="504"/>
      <c r="AL1389" s="342"/>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hidden="1" customHeight="1" thickBot="1">
      <c r="A1390" s="808"/>
      <c r="B1390" s="166"/>
      <c r="C1390" s="814" t="s">
        <v>4</v>
      </c>
      <c r="D1390" s="512" t="str">
        <f>Translations!$B$622</f>
        <v>VD:</v>
      </c>
      <c r="E1390" s="1560" t="str">
        <f>Translations!$B$667</f>
        <v>Ar veiklos duomenys gaunami sudedant išmatuotus kiekius (t. y. ne atliekant nuolatinius matavimus)?</v>
      </c>
      <c r="F1390" s="1560"/>
      <c r="G1390" s="1560"/>
      <c r="H1390" s="1560"/>
      <c r="I1390" s="1560"/>
      <c r="J1390" s="1560"/>
      <c r="K1390" s="1560"/>
      <c r="L1390" s="1179"/>
      <c r="M1390" s="507"/>
      <c r="O1390" s="733"/>
      <c r="P1390" s="23"/>
      <c r="Q1390" s="23"/>
      <c r="R1390" s="23"/>
      <c r="S1390" s="23"/>
      <c r="T1390" s="23"/>
      <c r="U1390" s="23"/>
      <c r="V1390" s="30"/>
      <c r="W1390" s="30"/>
      <c r="X1390" s="30"/>
      <c r="Y1390" s="494"/>
      <c r="Z1390" s="30"/>
      <c r="AA1390" s="30"/>
      <c r="AB1390" s="30"/>
      <c r="AC1390" s="1172" t="b">
        <f>AND(E1385&lt;&gt;"",T1386&lt;&gt;TRUE)</f>
        <v>0</v>
      </c>
      <c r="AD1390" s="30"/>
      <c r="AE1390" s="30"/>
      <c r="AF1390" s="58"/>
      <c r="AG1390" s="30"/>
      <c r="AH1390" s="30"/>
      <c r="AI1390" s="30"/>
      <c r="AJ1390" s="504"/>
      <c r="AK1390" s="504"/>
      <c r="AL1390" s="342"/>
      <c r="AM1390" s="30"/>
      <c r="AN1390" s="30"/>
      <c r="AO1390" s="30"/>
      <c r="AP1390" s="30"/>
      <c r="AQ1390" s="30"/>
      <c r="AR1390" s="30"/>
      <c r="AS1390" s="30"/>
      <c r="AT1390" s="1172"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2" t="b">
        <f>OR(CNTR_CalcRelevant=EUconst_NotRelevant,AND(COUNTA(CNTR_ListRelevantSections)&gt;0,OR(T1386=TRUE,E1385="")))</f>
        <v>1</v>
      </c>
    </row>
    <row r="1391" spans="1:78" s="142" customFormat="1" ht="5.0999999999999996" hidden="1" customHeight="1">
      <c r="A1391" s="808"/>
      <c r="B1391" s="166"/>
      <c r="C1391" s="166"/>
      <c r="D1391" s="166"/>
      <c r="E1391" s="166"/>
      <c r="F1391" s="166"/>
      <c r="G1391" s="166"/>
      <c r="H1391" s="495"/>
      <c r="I1391" s="495"/>
      <c r="J1391" s="495"/>
      <c r="K1391" s="495"/>
      <c r="L1391" s="495"/>
      <c r="M1391" s="507"/>
      <c r="O1391" s="733"/>
      <c r="P1391" s="23"/>
      <c r="Q1391" s="23"/>
      <c r="R1391" s="23"/>
      <c r="S1391" s="23"/>
      <c r="T1391" s="23"/>
      <c r="U1391" s="23"/>
      <c r="V1391" s="30"/>
      <c r="W1391" s="30"/>
      <c r="X1391" s="30"/>
      <c r="Y1391" s="494"/>
      <c r="Z1391" s="30"/>
      <c r="AA1391" s="30"/>
      <c r="AB1391" s="30"/>
      <c r="AC1391" s="492"/>
      <c r="AD1391" s="30"/>
      <c r="AE1391" s="30"/>
      <c r="AF1391" s="58"/>
      <c r="AG1391" s="30"/>
      <c r="AH1391" s="30"/>
      <c r="AI1391" s="30"/>
      <c r="AJ1391" s="504"/>
      <c r="AK1391" s="504"/>
      <c r="AL1391" s="342"/>
      <c r="AM1391" s="30"/>
      <c r="AN1391" s="30"/>
      <c r="AO1391" s="30"/>
      <c r="AP1391" s="30"/>
      <c r="AQ1391" s="30"/>
      <c r="AR1391" s="30"/>
      <c r="AS1391" s="30"/>
      <c r="AT1391" s="492"/>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2"/>
    </row>
    <row r="1392" spans="1:78" s="142" customFormat="1" ht="12.75" hidden="1" customHeight="1" thickBot="1">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3"/>
      <c r="Q1392" s="23"/>
      <c r="R1392" s="23"/>
      <c r="S1392" s="23"/>
      <c r="T1392" s="23"/>
      <c r="U1392" s="23"/>
      <c r="V1392" s="30"/>
      <c r="W1392" s="30"/>
      <c r="X1392" s="30"/>
      <c r="Y1392" s="494"/>
      <c r="Z1392" s="30"/>
      <c r="AA1392" s="30"/>
      <c r="AB1392" s="30"/>
      <c r="AC1392" s="1172" t="b">
        <f>AC1390</f>
        <v>0</v>
      </c>
      <c r="AD1392" s="30"/>
      <c r="AE1392" s="30"/>
      <c r="AF1392" s="58"/>
      <c r="AG1392" s="30"/>
      <c r="AH1392" s="30"/>
      <c r="AI1392" s="30"/>
      <c r="AJ1392" s="504"/>
      <c r="AK1392" s="504"/>
      <c r="AL1392" s="342"/>
      <c r="AM1392" s="30"/>
      <c r="AN1392" s="30"/>
      <c r="AO1392" s="30"/>
      <c r="AP1392" s="30"/>
      <c r="AQ1392" s="30"/>
      <c r="AR1392" s="30"/>
      <c r="AS1392" s="30"/>
      <c r="AT1392" s="1172"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2" t="b">
        <f>OR(BZ1390,AND(NOT(ISBLANK(L1390)),L1390=FALSE))</f>
        <v>1</v>
      </c>
    </row>
    <row r="1393" spans="1:78" s="142" customFormat="1" ht="5.0999999999999996" hidden="1" customHeight="1">
      <c r="A1393" s="808"/>
      <c r="B1393" s="166"/>
      <c r="C1393" s="166"/>
      <c r="D1393" s="166"/>
      <c r="E1393" s="166"/>
      <c r="F1393" s="166"/>
      <c r="G1393" s="166"/>
      <c r="M1393" s="143"/>
      <c r="N1393" s="143"/>
      <c r="O1393" s="733"/>
      <c r="P1393" s="23"/>
      <c r="Q1393" s="23"/>
      <c r="R1393" s="23"/>
      <c r="S1393" s="23"/>
      <c r="T1393" s="23"/>
      <c r="U1393" s="23"/>
      <c r="V1393" s="30"/>
      <c r="W1393" s="30"/>
      <c r="X1393" s="30"/>
      <c r="Y1393" s="494"/>
      <c r="Z1393" s="30"/>
      <c r="AA1393" s="30"/>
      <c r="AB1393" s="30"/>
      <c r="AC1393" s="30"/>
      <c r="AD1393" s="30"/>
      <c r="AE1393" s="30"/>
      <c r="AF1393" s="58"/>
      <c r="AG1393" s="30"/>
      <c r="AH1393" s="30"/>
      <c r="AI1393" s="30"/>
      <c r="AJ1393" s="504"/>
      <c r="AK1393" s="504"/>
      <c r="AL1393" s="342"/>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hidden="1" customHeight="1" thickBot="1">
      <c r="A1394" s="808"/>
      <c r="B1394" s="166"/>
      <c r="C1394" s="166"/>
      <c r="D1394" s="166"/>
      <c r="E1394" s="166"/>
      <c r="F1394" s="506" t="str">
        <f>Translations!$B$333</f>
        <v>Pakopa</v>
      </c>
      <c r="G1394" s="1557" t="str">
        <f>Translations!$B$672</f>
        <v>pakopos aprašas</v>
      </c>
      <c r="H1394" s="1557"/>
      <c r="I1394" s="1555" t="str">
        <f>Translations!$B$158</f>
        <v>Vienetas</v>
      </c>
      <c r="J1394" s="1555"/>
      <c r="K1394" s="1555" t="str">
        <f>Translations!$B$673</f>
        <v>Vertė</v>
      </c>
      <c r="L1394" s="1555"/>
      <c r="M1394" s="507" t="str">
        <f>Translations!$B$610</f>
        <v>klaida</v>
      </c>
      <c r="O1394" s="733"/>
      <c r="P1394" s="508"/>
      <c r="Q1394" s="352" t="str">
        <f>EUconst_SumEnergyIN &amp; "_" &amp; K1385</f>
        <v>SUM_EnergyIN_</v>
      </c>
      <c r="R1394" s="399" t="str">
        <f>IF(OR(K1385="",T1386)=TRUE,"",INDEX(BC1400:BE1400,MATCH(K1385,BC1395:BE1395,0)))</f>
        <v/>
      </c>
      <c r="S1394" s="30"/>
      <c r="T1394" s="489"/>
      <c r="U1394" s="30"/>
      <c r="V1394" s="509" t="s">
        <v>303</v>
      </c>
      <c r="W1394" s="30"/>
      <c r="X1394" s="30"/>
      <c r="Y1394" s="494" t="s">
        <v>566</v>
      </c>
      <c r="Z1394" s="494" t="s">
        <v>318</v>
      </c>
      <c r="AA1394" s="30"/>
      <c r="AB1394" s="30"/>
      <c r="AC1394" s="505" t="s">
        <v>309</v>
      </c>
      <c r="AD1394" s="30"/>
      <c r="AE1394" s="30"/>
      <c r="AF1394" s="492" t="s">
        <v>305</v>
      </c>
      <c r="AG1394" s="492" t="s">
        <v>306</v>
      </c>
      <c r="AH1394" s="494" t="s">
        <v>304</v>
      </c>
      <c r="AI1394" s="504" t="s">
        <v>307</v>
      </c>
      <c r="AJ1394" s="504" t="s">
        <v>567</v>
      </c>
      <c r="AK1394" s="510" t="s">
        <v>311</v>
      </c>
      <c r="AL1394" s="342"/>
      <c r="AM1394" s="30"/>
      <c r="AN1394" s="492" t="s">
        <v>305</v>
      </c>
      <c r="AO1394" s="492" t="s">
        <v>306</v>
      </c>
      <c r="AP1394" s="511" t="s">
        <v>310</v>
      </c>
      <c r="AQ1394" s="504" t="s">
        <v>569</v>
      </c>
      <c r="AR1394" s="504" t="s">
        <v>568</v>
      </c>
      <c r="AS1394" s="510" t="s">
        <v>609</v>
      </c>
      <c r="AT1394" s="510" t="s">
        <v>609</v>
      </c>
      <c r="AU1394" s="30"/>
      <c r="AV1394" s="492"/>
      <c r="AW1394" s="492"/>
      <c r="AX1394" s="492" t="s">
        <v>321</v>
      </c>
      <c r="AY1394" s="492"/>
      <c r="AZ1394" s="492"/>
      <c r="BA1394" s="492"/>
      <c r="BB1394" s="492"/>
      <c r="BC1394" s="492"/>
      <c r="BD1394" s="492"/>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3" t="s">
        <v>262</v>
      </c>
    </row>
    <row r="1395" spans="1:78" s="142" customFormat="1" ht="12.75" hidden="1" customHeight="1" thickBot="1">
      <c r="A1395" s="808"/>
      <c r="B1395" s="166"/>
      <c r="C1395" s="777" t="s">
        <v>196</v>
      </c>
      <c r="D1395" s="512" t="str">
        <f>Translations!$B$622</f>
        <v>VD:</v>
      </c>
      <c r="E1395" s="513"/>
      <c r="F1395" s="402"/>
      <c r="G1395" s="1532" t="str">
        <f>IF(OR(ISBLANK(F1395),F1395=EUconst_NoTier),"",IF(Z1395=0,EUconst_NA,IF(ISERROR(Z1395),"",Z1395)))</f>
        <v/>
      </c>
      <c r="H1395" s="1533"/>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0"/>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0"/>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0"/>
      <c r="AV1395" s="492" t="s">
        <v>314</v>
      </c>
      <c r="AW1395" s="492" t="s">
        <v>319</v>
      </c>
      <c r="AX1395" s="524"/>
      <c r="AY1395" s="30" t="s">
        <v>542</v>
      </c>
      <c r="AZ1395" s="30"/>
      <c r="BA1395" s="30"/>
      <c r="BB1395" s="504"/>
      <c r="BC1395" s="493" t="str">
        <f>EUconst_Fuel</f>
        <v>Degimas</v>
      </c>
      <c r="BD1395" s="493" t="str">
        <f>EUconst_ProcessCarbonate</f>
        <v>Proceso metu išsiskiriančios ŠESD</v>
      </c>
      <c r="BE1395" s="493"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4" t="b">
        <f>BZ1390</f>
        <v>1</v>
      </c>
    </row>
    <row r="1396" spans="1:78" s="142" customFormat="1" ht="4.5" hidden="1" customHeight="1">
      <c r="A1396" s="808"/>
      <c r="B1396" s="166"/>
      <c r="C1396" s="814"/>
      <c r="D1396" s="306"/>
      <c r="F1396" s="143"/>
      <c r="G1396" s="143"/>
      <c r="H1396" s="143" t="s">
        <v>236</v>
      </c>
      <c r="I1396" s="525"/>
      <c r="J1396" s="525"/>
      <c r="K1396" s="143"/>
      <c r="L1396" s="143"/>
      <c r="M1396" s="710"/>
      <c r="O1396" s="733"/>
      <c r="P1396" s="33"/>
      <c r="Q1396" s="33"/>
      <c r="R1396" s="33"/>
      <c r="S1396" s="30"/>
      <c r="T1396" s="155"/>
      <c r="U1396" s="497"/>
      <c r="V1396" s="30"/>
      <c r="W1396" s="30"/>
      <c r="X1396" s="497"/>
      <c r="Y1396" s="526"/>
      <c r="Z1396" s="30"/>
      <c r="AA1396" s="30"/>
      <c r="AB1396" s="30"/>
      <c r="AC1396" s="30"/>
      <c r="AD1396" s="30"/>
      <c r="AE1396" s="30"/>
      <c r="AF1396" s="30"/>
      <c r="AG1396" s="30"/>
      <c r="AH1396" s="30"/>
      <c r="AI1396" s="30"/>
      <c r="AJ1396" s="30"/>
      <c r="AK1396" s="30"/>
      <c r="AL1396" s="342"/>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3"/>
    </row>
    <row r="1397" spans="1:78" s="142" customFormat="1" ht="12.75" hidden="1" customHeight="1" thickBot="1">
      <c r="A1397" s="808"/>
      <c r="B1397" s="166"/>
      <c r="C1397" s="814" t="s">
        <v>197</v>
      </c>
      <c r="D1397" s="512" t="str">
        <f>Translations!$B$634</f>
        <v>(prelim.) ITF:</v>
      </c>
      <c r="E1397" s="513"/>
      <c r="F1397" s="527"/>
      <c r="G1397" s="1532" t="str">
        <f t="shared" ref="G1397:G1403" si="343">IF(OR(ISBLANK(F1397),F1397=EUconst_NoTier),"",IF(Z1397=0,EUconst_NotApplicable,IF(ISERROR(Z1397),"",Z1397)))</f>
        <v/>
      </c>
      <c r="H1397" s="1556"/>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3"/>
      <c r="Q1397" s="33"/>
      <c r="R1397" s="33"/>
      <c r="S1397" s="30"/>
      <c r="T1397" s="530" t="str">
        <f>EUconst_CNTR_EF&amp;E1386</f>
        <v>EF_</v>
      </c>
      <c r="U1397" s="497"/>
      <c r="V1397" s="531" t="str">
        <f>V1395</f>
        <v/>
      </c>
      <c r="W1397" s="30"/>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0"/>
      <c r="AC1397" s="535" t="b">
        <f>AND(AC1395,Y1397&lt;&gt;EUconst_NA)</f>
        <v>0</v>
      </c>
      <c r="AD1397" s="30"/>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0"/>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0"/>
      <c r="BA1397" s="30"/>
      <c r="BB1397" s="547" t="s">
        <v>594</v>
      </c>
      <c r="BC1397" s="546" t="str">
        <f>IF(K1385=BC1395,AR1395*IF(AJ1397=EUconst_tCO2pTJ,(AR1398/1000),1)*AR1397*AR1399*AR1403,"")</f>
        <v/>
      </c>
      <c r="BD1397" s="524" t="str">
        <f>IF(K1385=BD1395,AR1395*AR1397*AR1400*AR1403,"")</f>
        <v/>
      </c>
      <c r="BE1397" s="523"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1" t="b">
        <f>OR(BZ1395,Y1397=EUconst_NA)</f>
        <v>1</v>
      </c>
    </row>
    <row r="1398" spans="1:78" s="142" customFormat="1" ht="12.75" hidden="1" customHeight="1" thickBot="1">
      <c r="A1398" s="808"/>
      <c r="B1398" s="166"/>
      <c r="C1398" s="814" t="s">
        <v>198</v>
      </c>
      <c r="D1398" s="512" t="str">
        <f>Translations!$B$636</f>
        <v>GŠV:</v>
      </c>
      <c r="E1398" s="513"/>
      <c r="F1398" s="548"/>
      <c r="G1398" s="1532" t="str">
        <f t="shared" si="343"/>
        <v/>
      </c>
      <c r="H1398" s="1533"/>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3"/>
      <c r="Q1398" s="33"/>
      <c r="R1398" s="33"/>
      <c r="S1398" s="30"/>
      <c r="T1398" s="552" t="str">
        <f>EUconst_CNTR_NCV&amp;E1386</f>
        <v>NCV_</v>
      </c>
      <c r="U1398" s="497"/>
      <c r="V1398" s="553" t="str">
        <f t="shared" ref="V1398:V1403" si="349">V1397</f>
        <v/>
      </c>
      <c r="W1398" s="30"/>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0"/>
      <c r="AC1398" s="557" t="b">
        <f>AND(AC1395,Y1398&lt;&gt;EUconst_NA)</f>
        <v>0</v>
      </c>
      <c r="AD1398" s="30"/>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0"/>
      <c r="AV1398" s="567" t="b">
        <f t="shared" si="346"/>
        <v>0</v>
      </c>
      <c r="AW1398" s="568" t="b">
        <f t="shared" si="347"/>
        <v>0</v>
      </c>
      <c r="AX1398" s="30"/>
      <c r="AY1398" s="553" t="b">
        <f t="shared" si="348"/>
        <v>0</v>
      </c>
      <c r="AZ1398" s="30"/>
      <c r="BA1398" s="30"/>
      <c r="BB1398" s="547" t="s">
        <v>595</v>
      </c>
      <c r="BC1398" s="546" t="str">
        <f>IF(K1385=BC1395,AR1395*IF(AJ1397=EUconst_tCO2pTJ,(AR1398/1000),1)*AR1397*AR1399*AR1402,"")</f>
        <v/>
      </c>
      <c r="BD1398" s="524" t="str">
        <f>IF(K1385=BD1395,AR1395*AR1397*AR1400*AR1402,"")</f>
        <v/>
      </c>
      <c r="BE1398" s="523"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3" t="b">
        <f>OR(BZ1395,Y1398=EUconst_NA)</f>
        <v>1</v>
      </c>
    </row>
    <row r="1399" spans="1:78" s="142" customFormat="1" ht="12.75" hidden="1" customHeight="1" thickBot="1">
      <c r="A1399" s="808"/>
      <c r="B1399" s="166"/>
      <c r="C1399" s="814" t="s">
        <v>199</v>
      </c>
      <c r="D1399" s="512" t="str">
        <f>Translations!$B$638</f>
        <v>OksK:</v>
      </c>
      <c r="E1399" s="513"/>
      <c r="F1399" s="548"/>
      <c r="G1399" s="1532" t="str">
        <f t="shared" si="343"/>
        <v/>
      </c>
      <c r="H1399" s="1533"/>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3"/>
      <c r="Q1399" s="33"/>
      <c r="R1399" s="33"/>
      <c r="S1399" s="30"/>
      <c r="T1399" s="552" t="str">
        <f>EUconst_CNTR_OxidationFactor&amp;E1386</f>
        <v>OxF_</v>
      </c>
      <c r="U1399" s="497"/>
      <c r="V1399" s="553" t="str">
        <f t="shared" si="349"/>
        <v/>
      </c>
      <c r="W1399" s="30"/>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0"/>
      <c r="AC1399" s="557" t="b">
        <f>AND(AC1395,Y1399&lt;&gt;EUconst_NA)</f>
        <v>0</v>
      </c>
      <c r="AD1399" s="30"/>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0"/>
      <c r="AV1399" s="567" t="b">
        <f t="shared" si="346"/>
        <v>0</v>
      </c>
      <c r="AW1399" s="568" t="b">
        <f t="shared" si="347"/>
        <v>0</v>
      </c>
      <c r="AX1399" s="30"/>
      <c r="AY1399" s="594" t="b">
        <f t="shared" si="348"/>
        <v>0</v>
      </c>
      <c r="AZ1399" s="531" t="b">
        <f>AR1399&gt;100%</f>
        <v>0</v>
      </c>
      <c r="BA1399" s="30"/>
      <c r="BB1399" s="547" t="s">
        <v>290</v>
      </c>
      <c r="BC1399" s="546" t="str">
        <f>IF(K1385=BC1395,AR1395*IF(AJ1397=EUconst_tCO2pTJ,(AR1398/1000),1)*AR1397*AR1399*(1-AR1402),"")</f>
        <v/>
      </c>
      <c r="BD1399" s="524" t="str">
        <f>IF(K1385=BD1395,AR1395*AR1397*AR1400*(1-AR1402),"")</f>
        <v/>
      </c>
      <c r="BE1399" s="523"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3" t="b">
        <f>OR(BZ1395,Y1399=EUconst_NA)</f>
        <v>1</v>
      </c>
    </row>
    <row r="1400" spans="1:78" s="142" customFormat="1" ht="12.75" hidden="1" customHeight="1" thickBot="1">
      <c r="A1400" s="808"/>
      <c r="B1400" s="166"/>
      <c r="C1400" s="814" t="s">
        <v>200</v>
      </c>
      <c r="D1400" s="512" t="str">
        <f>Translations!$B$639</f>
        <v>KonvK:</v>
      </c>
      <c r="E1400" s="513"/>
      <c r="F1400" s="548"/>
      <c r="G1400" s="1532" t="str">
        <f t="shared" si="343"/>
        <v/>
      </c>
      <c r="H1400" s="1533"/>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3"/>
      <c r="Q1400" s="33"/>
      <c r="R1400" s="33"/>
      <c r="S1400" s="30"/>
      <c r="T1400" s="552" t="str">
        <f>EUconst_CNTR_ConversionFactor&amp;E1386</f>
        <v>ConvF_</v>
      </c>
      <c r="U1400" s="497"/>
      <c r="V1400" s="553" t="str">
        <f t="shared" si="349"/>
        <v/>
      </c>
      <c r="W1400" s="30"/>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0"/>
      <c r="AC1400" s="557" t="b">
        <f>AND(AC1395,Y1400&lt;&gt;EUconst_NA)</f>
        <v>0</v>
      </c>
      <c r="AD1400" s="30"/>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0"/>
      <c r="AV1400" s="567" t="b">
        <f t="shared" si="346"/>
        <v>0</v>
      </c>
      <c r="AW1400" s="568" t="b">
        <f t="shared" si="347"/>
        <v>0</v>
      </c>
      <c r="AX1400" s="30"/>
      <c r="AY1400" s="594" t="b">
        <f t="shared" si="348"/>
        <v>0</v>
      </c>
      <c r="AZ1400" s="580" t="b">
        <f>AR1400&gt;100%</f>
        <v>0</v>
      </c>
      <c r="BA1400" s="30"/>
      <c r="BB1400" s="578" t="s">
        <v>487</v>
      </c>
      <c r="BC1400" s="579">
        <f>AR1395*AR1398/1000*(1-AR1402)</f>
        <v>0</v>
      </c>
      <c r="BD1400" s="580">
        <f>BC1400</f>
        <v>0</v>
      </c>
      <c r="BE1400" s="581">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3" t="b">
        <f>OR(BZ1395,Y1400=EUconst_NA)</f>
        <v>1</v>
      </c>
    </row>
    <row r="1401" spans="1:78" s="142" customFormat="1" ht="12.75" hidden="1" customHeight="1" thickBot="1">
      <c r="A1401" s="808"/>
      <c r="B1401" s="166"/>
      <c r="C1401" s="814" t="s">
        <v>329</v>
      </c>
      <c r="D1401" s="512" t="str">
        <f>Translations!$B$640</f>
        <v>AnglK:</v>
      </c>
      <c r="E1401" s="513"/>
      <c r="F1401" s="548"/>
      <c r="G1401" s="1532" t="str">
        <f t="shared" si="343"/>
        <v/>
      </c>
      <c r="H1401" s="1533"/>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3"/>
      <c r="Q1401" s="33"/>
      <c r="R1401" s="33"/>
      <c r="S1401" s="30"/>
      <c r="T1401" s="552" t="str">
        <f>EUconst_CNTR_CarbonContent&amp;E1386</f>
        <v>CarbC_</v>
      </c>
      <c r="U1401" s="497"/>
      <c r="V1401" s="553" t="str">
        <f t="shared" si="349"/>
        <v/>
      </c>
      <c r="W1401" s="30"/>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0"/>
      <c r="AC1401" s="557" t="b">
        <f>AND(AC1395,Y1401&lt;&gt;EUconst_NA)</f>
        <v>0</v>
      </c>
      <c r="AD1401" s="30"/>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0"/>
      <c r="AV1401" s="567" t="b">
        <f t="shared" si="346"/>
        <v>0</v>
      </c>
      <c r="AW1401" s="568" t="b">
        <f t="shared" si="347"/>
        <v>0</v>
      </c>
      <c r="AX1401" s="546" t="b">
        <f>OR(AND(AJ1395=EUconst_kNm3,AJ1401=EUconst_tCpt),AND(AJ1395=EUconst_t,AJ1401=EUconst_tCpkNm3))</f>
        <v>0</v>
      </c>
      <c r="AY1401" s="553" t="b">
        <f t="shared" si="348"/>
        <v>0</v>
      </c>
      <c r="AZ1401" s="30"/>
      <c r="BA1401" s="30"/>
      <c r="BB1401" s="578" t="s">
        <v>488</v>
      </c>
      <c r="BC1401" s="579">
        <f>AR1395*AR1398/1000*AR1402</f>
        <v>0</v>
      </c>
      <c r="BD1401" s="580">
        <f>BC1401</f>
        <v>0</v>
      </c>
      <c r="BE1401" s="581">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3" t="b">
        <f>OR(BZ1395,Y1401=EUconst_NA)</f>
        <v>1</v>
      </c>
    </row>
    <row r="1402" spans="1:78" s="142" customFormat="1" ht="12.75" hidden="1" customHeight="1">
      <c r="A1402" s="808"/>
      <c r="B1402" s="166"/>
      <c r="C1402" s="777" t="s">
        <v>330</v>
      </c>
      <c r="D1402" s="512" t="str">
        <f>Translations!$B$641</f>
        <v>BioC:</v>
      </c>
      <c r="E1402" s="513"/>
      <c r="F1402" s="548"/>
      <c r="G1402" s="1532" t="str">
        <f t="shared" si="343"/>
        <v/>
      </c>
      <c r="H1402" s="1533"/>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0"/>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0"/>
      <c r="AC1402" s="557" t="b">
        <f>AND(AC1395,Y1402&lt;&gt;EUconst_NA)</f>
        <v>0</v>
      </c>
      <c r="AD1402" s="30"/>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0"/>
      <c r="AV1402" s="567" t="b">
        <f t="shared" si="346"/>
        <v>0</v>
      </c>
      <c r="AW1402" s="568" t="b">
        <f t="shared" si="347"/>
        <v>0</v>
      </c>
      <c r="AX1402" s="30"/>
      <c r="AY1402" s="594" t="b">
        <f t="shared" si="348"/>
        <v>0</v>
      </c>
      <c r="AZ1402" s="531"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3" t="b">
        <f>OR(BZ1395,Y1402=EUconst_NA)</f>
        <v>1</v>
      </c>
    </row>
    <row r="1403" spans="1:78" s="142" customFormat="1" ht="12.75" hidden="1" customHeight="1" thickBot="1">
      <c r="A1403" s="808"/>
      <c r="B1403" s="166"/>
      <c r="C1403" s="777" t="s">
        <v>454</v>
      </c>
      <c r="D1403" s="512" t="str">
        <f>Translations!$B$647</f>
        <v>Netvar. BioC:</v>
      </c>
      <c r="E1403" s="513"/>
      <c r="F1403" s="597"/>
      <c r="G1403" s="1532" t="str">
        <f t="shared" si="343"/>
        <v/>
      </c>
      <c r="H1403" s="1533"/>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0"/>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0"/>
      <c r="AC1403" s="603" t="b">
        <f>AND(AC1395,Y1403&lt;&gt;EUconst_NA)</f>
        <v>0</v>
      </c>
      <c r="AD1403" s="30"/>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0"/>
      <c r="AV1403" s="613" t="b">
        <f t="shared" si="346"/>
        <v>0</v>
      </c>
      <c r="AW1403" s="614" t="b">
        <f t="shared" si="347"/>
        <v>0</v>
      </c>
      <c r="AX1403" s="30"/>
      <c r="AY1403" s="579" t="b">
        <f t="shared" si="348"/>
        <v>0</v>
      </c>
      <c r="AZ1403" s="580"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80" t="b">
        <f>OR(BZ1395,Y1403=EUconst_NA)</f>
        <v>1</v>
      </c>
    </row>
    <row r="1404" spans="1:78" s="142" customFormat="1" ht="4.5" hidden="1" customHeight="1">
      <c r="A1404" s="808"/>
      <c r="B1404" s="166"/>
      <c r="C1404" s="166"/>
      <c r="D1404" s="180"/>
      <c r="O1404" s="733"/>
      <c r="P1404" s="33"/>
      <c r="Q1404" s="33"/>
      <c r="R1404" s="33"/>
      <c r="S1404" s="174"/>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hidden="1" customHeight="1">
      <c r="A1405" s="808"/>
      <c r="B1405" s="166"/>
      <c r="C1405" s="166"/>
      <c r="D1405" s="1558" t="str">
        <f>Translations!$B$674</f>
        <v>Pakopos galioja nuo:</v>
      </c>
      <c r="E1405" s="1558"/>
      <c r="F1405" s="1559"/>
      <c r="G1405" s="1052"/>
      <c r="H1405" s="615" t="str">
        <f>Translations!$B$675</f>
        <v>iki:</v>
      </c>
      <c r="I1405" s="1052"/>
      <c r="J1405" s="1536" t="str">
        <f>Translations!$B$676</f>
        <v>Atliekų katalogo numeris (jeigu taikytina):</v>
      </c>
      <c r="K1405" s="1537"/>
      <c r="L1405" s="1537"/>
      <c r="M1405" s="1538"/>
      <c r="N1405" s="1289"/>
      <c r="O1405" s="733"/>
      <c r="P1405" s="33"/>
      <c r="Q1405" s="33"/>
      <c r="R1405" s="33"/>
      <c r="S1405" s="1290"/>
      <c r="T1405" s="492"/>
      <c r="U1405" s="492"/>
      <c r="V1405" s="48" t="b">
        <f>IF(V1395="",FALSE,INDEX(CNTR_IsWaste,MATCH(V1395,MSParameters!$A$218:$A$376,0)))</f>
        <v>0</v>
      </c>
      <c r="W1405" s="1290"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hidden="1" customHeight="1">
      <c r="A1406" s="808"/>
      <c r="B1406" s="166"/>
      <c r="C1406" s="166"/>
      <c r="D1406" s="615"/>
      <c r="E1406" s="495"/>
      <c r="F1406" s="495"/>
      <c r="G1406" s="495"/>
      <c r="H1406" s="495"/>
      <c r="I1406" s="495"/>
      <c r="J1406" s="495"/>
      <c r="K1406" s="495"/>
      <c r="L1406" s="495"/>
      <c r="M1406" s="495"/>
      <c r="N1406" s="495"/>
      <c r="O1406" s="733"/>
      <c r="P1406" s="33"/>
      <c r="Q1406" s="33"/>
      <c r="R1406" s="33"/>
      <c r="S1406" s="174"/>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hidden="1" customHeight="1">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3"/>
      <c r="Q1407" s="33"/>
      <c r="R1407" s="33"/>
      <c r="S1407" s="174"/>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4.5" hidden="1" customHeight="1">
      <c r="A1408" s="815"/>
      <c r="D1408" s="180"/>
      <c r="O1408" s="573"/>
      <c r="P1408" s="497"/>
      <c r="Q1408" s="497"/>
      <c r="R1408" s="497"/>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hidden="1">
      <c r="A1409" s="815"/>
      <c r="D1409" s="1534" t="str">
        <f>Translations!$B$160</f>
        <v>Pastabos:</v>
      </c>
      <c r="E1409" s="1535"/>
      <c r="F1409" s="1539"/>
      <c r="G1409" s="1540"/>
      <c r="H1409" s="1540"/>
      <c r="I1409" s="1540"/>
      <c r="J1409" s="1540"/>
      <c r="K1409" s="1540"/>
      <c r="L1409" s="1540"/>
      <c r="M1409" s="1540"/>
      <c r="N1409" s="1541"/>
      <c r="O1409" s="573"/>
      <c r="P1409" s="497"/>
      <c r="Q1409" s="497"/>
      <c r="R1409" s="497"/>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c r="A1410" s="808"/>
      <c r="B1410" s="495"/>
      <c r="C1410" s="499"/>
      <c r="D1410" s="500"/>
      <c r="E1410" s="501"/>
      <c r="F1410" s="499"/>
      <c r="G1410" s="502"/>
      <c r="H1410" s="502"/>
      <c r="I1410" s="502"/>
      <c r="J1410" s="502"/>
      <c r="K1410" s="502"/>
      <c r="L1410" s="502"/>
      <c r="M1410" s="502"/>
      <c r="N1410" s="502"/>
      <c r="O1410" s="740"/>
      <c r="P1410" s="494"/>
      <c r="Q1410" s="494"/>
      <c r="R1410" s="494"/>
      <c r="S1410" s="58"/>
      <c r="T1410" s="58"/>
      <c r="U1410" s="498"/>
      <c r="V1410" s="58"/>
      <c r="W1410" s="58"/>
      <c r="X1410" s="498"/>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c r="A1411" s="813"/>
      <c r="B1411" s="495"/>
      <c r="C1411" s="495"/>
      <c r="D1411" s="180"/>
      <c r="E1411" s="496"/>
      <c r="F1411" s="495"/>
      <c r="G1411" s="487"/>
      <c r="H1411" s="487"/>
      <c r="I1411" s="487"/>
      <c r="J1411" s="487"/>
      <c r="K1411" s="495"/>
      <c r="L1411" s="487"/>
      <c r="M1411" s="487"/>
      <c r="N1411" s="487"/>
      <c r="O1411" s="740"/>
      <c r="P1411" s="494"/>
      <c r="Q1411" s="494"/>
      <c r="R1411" s="494"/>
      <c r="S1411" s="23"/>
      <c r="T1411" s="27" t="str">
        <f>IF(ISBLANK(E1412),"",MATCH(E1412,CNTR_SourceStreamNames,0))</f>
        <v/>
      </c>
      <c r="U1411" s="618"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1"/>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3" t="s">
        <v>262</v>
      </c>
    </row>
    <row r="1412" spans="1:78" s="142" customFormat="1" ht="15" hidden="1" customHeight="1" thickBot="1">
      <c r="A1412" s="869" t="str">
        <f>IF(E1412="","","PRINT")</f>
        <v/>
      </c>
      <c r="B1412" s="166"/>
      <c r="C1412" s="617">
        <f>C1385+1</f>
        <v>51</v>
      </c>
      <c r="D1412" s="166"/>
      <c r="E1412" s="1542"/>
      <c r="F1412" s="1543"/>
      <c r="G1412" s="1543"/>
      <c r="H1412" s="1543"/>
      <c r="I1412" s="1543"/>
      <c r="J1412" s="1544"/>
      <c r="K1412" s="1545" t="str">
        <f>IF(E1413="","",INDEX(EUwideConstants!$F$353:$F$394,MATCH(E1413,EUConst_TierActivityListNames,0)))</f>
        <v/>
      </c>
      <c r="L1412" s="1546"/>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3"/>
      <c r="T1412" s="509" t="s">
        <v>393</v>
      </c>
      <c r="U1412" s="23"/>
      <c r="V1412" s="78"/>
      <c r="W1412" s="56"/>
      <c r="X1412" s="58"/>
      <c r="Y1412" s="58"/>
      <c r="Z1412" s="58"/>
      <c r="AA1412" s="58"/>
      <c r="AB1412" s="58"/>
      <c r="AC1412" s="58"/>
      <c r="AD1412" s="58"/>
      <c r="AE1412" s="58"/>
      <c r="AF1412" s="58"/>
      <c r="AG1412" s="58"/>
      <c r="AH1412" s="58"/>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6"/>
      <c r="BZ1412" s="619" t="b">
        <f>CNTR_CalcRelevant=EUconst_NotRelevant</f>
        <v>0</v>
      </c>
    </row>
    <row r="1413" spans="1:78" s="142" customFormat="1" ht="15" hidden="1" customHeight="1" thickBot="1">
      <c r="A1413" s="808"/>
      <c r="B1413" s="166"/>
      <c r="C1413" s="166"/>
      <c r="D1413" s="166"/>
      <c r="E1413" s="1547" t="str">
        <f>IF(ISBLANK(E1412),"",IF(INDEX(B_InstallationDescription!$E$71:$E$145,MATCH(U1411,B_InstallationDescription!$D$71:$D$145,0))&gt;0,INDEX(B_InstallationDescription!$E$71:$E$145,MATCH(U1411,B_InstallationDescription!$D$71:$D$145,0)),""))</f>
        <v/>
      </c>
      <c r="F1413" s="1548"/>
      <c r="G1413" s="1548"/>
      <c r="H1413" s="1548"/>
      <c r="I1413" s="1548"/>
      <c r="J1413" s="1549"/>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4"/>
      <c r="AH1413" s="30"/>
      <c r="AI1413" s="30"/>
      <c r="AJ1413" s="504"/>
      <c r="AK1413" s="504"/>
      <c r="AL1413" s="342"/>
      <c r="AM1413" s="27" t="s">
        <v>308</v>
      </c>
      <c r="AN1413" s="505"/>
      <c r="AO1413" s="505"/>
      <c r="AP1413" s="30"/>
      <c r="AQ1413" s="30"/>
      <c r="AR1413" s="30"/>
      <c r="AS1413" s="30"/>
      <c r="AT1413" s="30"/>
      <c r="AU1413" s="30"/>
      <c r="AV1413" s="27" t="s">
        <v>315</v>
      </c>
      <c r="AW1413" s="30"/>
      <c r="AX1413" s="492"/>
      <c r="AY1413" s="30"/>
      <c r="AZ1413" s="30"/>
      <c r="BA1413" s="30"/>
      <c r="BB1413" s="27" t="s">
        <v>219</v>
      </c>
      <c r="BC1413" s="30"/>
      <c r="BD1413" s="30"/>
      <c r="BE1413" s="30"/>
      <c r="BF1413" s="30"/>
      <c r="BG1413" s="27"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0"/>
      <c r="BZ1413" s="30"/>
    </row>
    <row r="1414" spans="1:78" s="142" customFormat="1" ht="4.5" hidden="1" customHeight="1">
      <c r="A1414" s="808"/>
      <c r="B1414" s="166"/>
      <c r="C1414" s="166"/>
      <c r="D1414" s="166"/>
      <c r="E1414" s="166"/>
      <c r="F1414" s="166"/>
      <c r="G1414" s="166"/>
      <c r="M1414" s="143"/>
      <c r="N1414" s="143"/>
      <c r="O1414" s="733"/>
      <c r="P1414" s="33"/>
      <c r="Q1414" s="33"/>
      <c r="R1414" s="33"/>
      <c r="S1414" s="23"/>
      <c r="T1414" s="23"/>
      <c r="U1414" s="23"/>
      <c r="V1414" s="78"/>
      <c r="W1414" s="30"/>
      <c r="X1414" s="30"/>
      <c r="Y1414" s="494"/>
      <c r="Z1414" s="30"/>
      <c r="AA1414" s="30"/>
      <c r="AB1414" s="30"/>
      <c r="AC1414" s="30"/>
      <c r="AD1414" s="30"/>
      <c r="AE1414" s="30"/>
      <c r="AF1414" s="58"/>
      <c r="AG1414" s="30"/>
      <c r="AH1414" s="30"/>
      <c r="AI1414" s="30"/>
      <c r="AJ1414" s="504"/>
      <c r="AK1414" s="504"/>
      <c r="AL1414" s="342"/>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hidden="1" customHeight="1" thickBot="1">
      <c r="A1415" s="808"/>
      <c r="B1415" s="166"/>
      <c r="C1415" s="166"/>
      <c r="D1415" s="166"/>
      <c r="E1415" s="1550" t="str">
        <f>IF(E1412="","",IF(T1413=TRUE,HYPERLINK("#JUMP_14",EUconst_MsgGoOnPFC),HYPERLINK("#JUMP_E_8",EUconst_FurtherGuidancePoint1)))</f>
        <v/>
      </c>
      <c r="F1415" s="1550"/>
      <c r="G1415" s="1550"/>
      <c r="H1415" s="1550"/>
      <c r="I1415" s="1550"/>
      <c r="J1415" s="1550"/>
      <c r="K1415" s="1550"/>
      <c r="L1415" s="1550"/>
      <c r="M1415" s="1550"/>
      <c r="N1415" s="143"/>
      <c r="O1415" s="733"/>
      <c r="P1415" s="33"/>
      <c r="Q1415" s="352" t="str">
        <f>EUconst_SumNonSustBioCO2 &amp; "_" &amp; K1412</f>
        <v>SUM_bioNonSustCO2_</v>
      </c>
      <c r="R1415" s="707"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4"/>
      <c r="AK1415" s="504"/>
      <c r="AL1415" s="342"/>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4.5" hidden="1" customHeight="1">
      <c r="A1416" s="808"/>
      <c r="B1416" s="166"/>
      <c r="C1416" s="166"/>
      <c r="D1416" s="166"/>
      <c r="E1416" s="166"/>
      <c r="F1416" s="166"/>
      <c r="G1416" s="166"/>
      <c r="M1416" s="143"/>
      <c r="N1416" s="143"/>
      <c r="O1416" s="733"/>
      <c r="P1416" s="23"/>
      <c r="Q1416" s="23"/>
      <c r="R1416" s="23"/>
      <c r="S1416" s="23"/>
      <c r="T1416" s="23"/>
      <c r="U1416" s="23"/>
      <c r="V1416" s="30"/>
      <c r="W1416" s="30"/>
      <c r="X1416" s="30"/>
      <c r="Y1416" s="494"/>
      <c r="Z1416" s="30"/>
      <c r="AA1416" s="30"/>
      <c r="AB1416" s="30"/>
      <c r="AC1416" s="30"/>
      <c r="AD1416" s="30"/>
      <c r="AE1416" s="30"/>
      <c r="AF1416" s="58"/>
      <c r="AG1416" s="30"/>
      <c r="AH1416" s="30"/>
      <c r="AI1416" s="30"/>
      <c r="AJ1416" s="504"/>
      <c r="AK1416" s="504"/>
      <c r="AL1416" s="342"/>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hidden="1" customHeight="1" thickBot="1">
      <c r="A1417" s="808"/>
      <c r="B1417" s="166"/>
      <c r="C1417" s="814" t="s">
        <v>4</v>
      </c>
      <c r="D1417" s="512" t="str">
        <f>Translations!$B$622</f>
        <v>VD:</v>
      </c>
      <c r="E1417" s="1560" t="str">
        <f>Translations!$B$667</f>
        <v>Ar veiklos duomenys gaunami sudedant išmatuotus kiekius (t. y. ne atliekant nuolatinius matavimus)?</v>
      </c>
      <c r="F1417" s="1560"/>
      <c r="G1417" s="1560"/>
      <c r="H1417" s="1560"/>
      <c r="I1417" s="1560"/>
      <c r="J1417" s="1560"/>
      <c r="K1417" s="1560"/>
      <c r="L1417" s="1179"/>
      <c r="M1417" s="507"/>
      <c r="O1417" s="733"/>
      <c r="P1417" s="23"/>
      <c r="Q1417" s="23"/>
      <c r="R1417" s="23"/>
      <c r="S1417" s="23"/>
      <c r="T1417" s="23"/>
      <c r="U1417" s="23"/>
      <c r="V1417" s="30"/>
      <c r="W1417" s="30"/>
      <c r="X1417" s="30"/>
      <c r="Y1417" s="494"/>
      <c r="Z1417" s="30"/>
      <c r="AA1417" s="30"/>
      <c r="AB1417" s="30"/>
      <c r="AC1417" s="1172" t="b">
        <f>AND(E1412&lt;&gt;"",T1413&lt;&gt;TRUE)</f>
        <v>0</v>
      </c>
      <c r="AD1417" s="30"/>
      <c r="AE1417" s="30"/>
      <c r="AF1417" s="58"/>
      <c r="AG1417" s="30"/>
      <c r="AH1417" s="30"/>
      <c r="AI1417" s="30"/>
      <c r="AJ1417" s="504"/>
      <c r="AK1417" s="504"/>
      <c r="AL1417" s="342"/>
      <c r="AM1417" s="30"/>
      <c r="AN1417" s="30"/>
      <c r="AO1417" s="30"/>
      <c r="AP1417" s="30"/>
      <c r="AQ1417" s="30"/>
      <c r="AR1417" s="30"/>
      <c r="AS1417" s="30"/>
      <c r="AT1417" s="1172"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2" t="b">
        <f>OR(CNTR_CalcRelevant=EUconst_NotRelevant,AND(COUNTA(CNTR_ListRelevantSections)&gt;0,OR(T1413=TRUE,E1412="")))</f>
        <v>1</v>
      </c>
    </row>
    <row r="1418" spans="1:78" s="142" customFormat="1" ht="5.0999999999999996" hidden="1" customHeight="1">
      <c r="A1418" s="808"/>
      <c r="B1418" s="166"/>
      <c r="C1418" s="166"/>
      <c r="D1418" s="166"/>
      <c r="E1418" s="166"/>
      <c r="F1418" s="166"/>
      <c r="G1418" s="166"/>
      <c r="H1418" s="495"/>
      <c r="I1418" s="495"/>
      <c r="J1418" s="495"/>
      <c r="K1418" s="495"/>
      <c r="L1418" s="495"/>
      <c r="M1418" s="507"/>
      <c r="O1418" s="733"/>
      <c r="P1418" s="23"/>
      <c r="Q1418" s="23"/>
      <c r="R1418" s="23"/>
      <c r="S1418" s="23"/>
      <c r="T1418" s="23"/>
      <c r="U1418" s="23"/>
      <c r="V1418" s="30"/>
      <c r="W1418" s="30"/>
      <c r="X1418" s="30"/>
      <c r="Y1418" s="494"/>
      <c r="Z1418" s="30"/>
      <c r="AA1418" s="30"/>
      <c r="AB1418" s="30"/>
      <c r="AC1418" s="492"/>
      <c r="AD1418" s="30"/>
      <c r="AE1418" s="30"/>
      <c r="AF1418" s="58"/>
      <c r="AG1418" s="30"/>
      <c r="AH1418" s="30"/>
      <c r="AI1418" s="30"/>
      <c r="AJ1418" s="504"/>
      <c r="AK1418" s="504"/>
      <c r="AL1418" s="342"/>
      <c r="AM1418" s="30"/>
      <c r="AN1418" s="30"/>
      <c r="AO1418" s="30"/>
      <c r="AP1418" s="30"/>
      <c r="AQ1418" s="30"/>
      <c r="AR1418" s="30"/>
      <c r="AS1418" s="30"/>
      <c r="AT1418" s="492"/>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2"/>
    </row>
    <row r="1419" spans="1:78" s="142" customFormat="1" ht="12.75" hidden="1" customHeight="1" thickBot="1">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3"/>
      <c r="Q1419" s="23"/>
      <c r="R1419" s="23"/>
      <c r="S1419" s="23"/>
      <c r="T1419" s="23"/>
      <c r="U1419" s="23"/>
      <c r="V1419" s="30"/>
      <c r="W1419" s="30"/>
      <c r="X1419" s="30"/>
      <c r="Y1419" s="494"/>
      <c r="Z1419" s="30"/>
      <c r="AA1419" s="30"/>
      <c r="AB1419" s="30"/>
      <c r="AC1419" s="1172" t="b">
        <f>AC1417</f>
        <v>0</v>
      </c>
      <c r="AD1419" s="30"/>
      <c r="AE1419" s="30"/>
      <c r="AF1419" s="58"/>
      <c r="AG1419" s="30"/>
      <c r="AH1419" s="30"/>
      <c r="AI1419" s="30"/>
      <c r="AJ1419" s="504"/>
      <c r="AK1419" s="504"/>
      <c r="AL1419" s="342"/>
      <c r="AM1419" s="30"/>
      <c r="AN1419" s="30"/>
      <c r="AO1419" s="30"/>
      <c r="AP1419" s="30"/>
      <c r="AQ1419" s="30"/>
      <c r="AR1419" s="30"/>
      <c r="AS1419" s="30"/>
      <c r="AT1419" s="1172"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2" t="b">
        <f>OR(BZ1417,AND(NOT(ISBLANK(L1417)),L1417=FALSE))</f>
        <v>1</v>
      </c>
    </row>
    <row r="1420" spans="1:78" s="142" customFormat="1" ht="5.0999999999999996" hidden="1" customHeight="1">
      <c r="A1420" s="808"/>
      <c r="B1420" s="166"/>
      <c r="C1420" s="166"/>
      <c r="D1420" s="166"/>
      <c r="E1420" s="166"/>
      <c r="F1420" s="166"/>
      <c r="G1420" s="166"/>
      <c r="M1420" s="143"/>
      <c r="N1420" s="143"/>
      <c r="O1420" s="733"/>
      <c r="P1420" s="23"/>
      <c r="Q1420" s="23"/>
      <c r="R1420" s="23"/>
      <c r="S1420" s="23"/>
      <c r="T1420" s="23"/>
      <c r="U1420" s="23"/>
      <c r="V1420" s="30"/>
      <c r="W1420" s="30"/>
      <c r="X1420" s="30"/>
      <c r="Y1420" s="494"/>
      <c r="Z1420" s="30"/>
      <c r="AA1420" s="30"/>
      <c r="AB1420" s="30"/>
      <c r="AC1420" s="30"/>
      <c r="AD1420" s="30"/>
      <c r="AE1420" s="30"/>
      <c r="AF1420" s="58"/>
      <c r="AG1420" s="30"/>
      <c r="AH1420" s="30"/>
      <c r="AI1420" s="30"/>
      <c r="AJ1420" s="504"/>
      <c r="AK1420" s="504"/>
      <c r="AL1420" s="342"/>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hidden="1" customHeight="1" thickBot="1">
      <c r="A1421" s="808"/>
      <c r="B1421" s="166"/>
      <c r="C1421" s="166"/>
      <c r="D1421" s="166"/>
      <c r="E1421" s="166"/>
      <c r="F1421" s="506" t="str">
        <f>Translations!$B$333</f>
        <v>Pakopa</v>
      </c>
      <c r="G1421" s="1557" t="str">
        <f>Translations!$B$672</f>
        <v>pakopos aprašas</v>
      </c>
      <c r="H1421" s="1557"/>
      <c r="I1421" s="1555" t="str">
        <f>Translations!$B$158</f>
        <v>Vienetas</v>
      </c>
      <c r="J1421" s="1555"/>
      <c r="K1421" s="1555" t="str">
        <f>Translations!$B$673</f>
        <v>Vertė</v>
      </c>
      <c r="L1421" s="1555"/>
      <c r="M1421" s="507" t="str">
        <f>Translations!$B$610</f>
        <v>klaida</v>
      </c>
      <c r="O1421" s="733"/>
      <c r="P1421" s="508"/>
      <c r="Q1421" s="352" t="str">
        <f>EUconst_SumEnergyIN &amp; "_" &amp; K1412</f>
        <v>SUM_EnergyIN_</v>
      </c>
      <c r="R1421" s="399" t="str">
        <f>IF(OR(K1412="",T1413)=TRUE,"",INDEX(BC1427:BE1427,MATCH(K1412,BC1422:BE1422,0)))</f>
        <v/>
      </c>
      <c r="S1421" s="30"/>
      <c r="T1421" s="489"/>
      <c r="U1421" s="30"/>
      <c r="V1421" s="509" t="s">
        <v>303</v>
      </c>
      <c r="W1421" s="30"/>
      <c r="X1421" s="30"/>
      <c r="Y1421" s="494" t="s">
        <v>566</v>
      </c>
      <c r="Z1421" s="494" t="s">
        <v>318</v>
      </c>
      <c r="AA1421" s="30"/>
      <c r="AB1421" s="30"/>
      <c r="AC1421" s="505" t="s">
        <v>309</v>
      </c>
      <c r="AD1421" s="30"/>
      <c r="AE1421" s="30"/>
      <c r="AF1421" s="492" t="s">
        <v>305</v>
      </c>
      <c r="AG1421" s="492" t="s">
        <v>306</v>
      </c>
      <c r="AH1421" s="494" t="s">
        <v>304</v>
      </c>
      <c r="AI1421" s="504" t="s">
        <v>307</v>
      </c>
      <c r="AJ1421" s="504" t="s">
        <v>567</v>
      </c>
      <c r="AK1421" s="510" t="s">
        <v>311</v>
      </c>
      <c r="AL1421" s="342"/>
      <c r="AM1421" s="30"/>
      <c r="AN1421" s="492" t="s">
        <v>305</v>
      </c>
      <c r="AO1421" s="492" t="s">
        <v>306</v>
      </c>
      <c r="AP1421" s="511" t="s">
        <v>310</v>
      </c>
      <c r="AQ1421" s="504" t="s">
        <v>569</v>
      </c>
      <c r="AR1421" s="504" t="s">
        <v>568</v>
      </c>
      <c r="AS1421" s="510" t="s">
        <v>609</v>
      </c>
      <c r="AT1421" s="510" t="s">
        <v>609</v>
      </c>
      <c r="AU1421" s="30"/>
      <c r="AV1421" s="492"/>
      <c r="AW1421" s="492"/>
      <c r="AX1421" s="492" t="s">
        <v>321</v>
      </c>
      <c r="AY1421" s="492"/>
      <c r="AZ1421" s="492"/>
      <c r="BA1421" s="492"/>
      <c r="BB1421" s="492"/>
      <c r="BC1421" s="492"/>
      <c r="BD1421" s="492"/>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3" t="s">
        <v>262</v>
      </c>
    </row>
    <row r="1422" spans="1:78" s="142" customFormat="1" ht="12.75" hidden="1" customHeight="1" thickBot="1">
      <c r="A1422" s="808"/>
      <c r="B1422" s="166"/>
      <c r="C1422" s="777" t="s">
        <v>196</v>
      </c>
      <c r="D1422" s="512" t="str">
        <f>Translations!$B$622</f>
        <v>VD:</v>
      </c>
      <c r="E1422" s="513"/>
      <c r="F1422" s="402"/>
      <c r="G1422" s="1532" t="str">
        <f>IF(OR(ISBLANK(F1422),F1422=EUconst_NoTier),"",IF(Z1422=0,EUconst_NA,IF(ISERROR(Z1422),"",Z1422)))</f>
        <v/>
      </c>
      <c r="H1422" s="1533"/>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0"/>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0"/>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0"/>
      <c r="AV1422" s="492" t="s">
        <v>314</v>
      </c>
      <c r="AW1422" s="492" t="s">
        <v>319</v>
      </c>
      <c r="AX1422" s="524"/>
      <c r="AY1422" s="30" t="s">
        <v>542</v>
      </c>
      <c r="AZ1422" s="30"/>
      <c r="BA1422" s="30"/>
      <c r="BB1422" s="504"/>
      <c r="BC1422" s="493" t="str">
        <f>EUconst_Fuel</f>
        <v>Degimas</v>
      </c>
      <c r="BD1422" s="493" t="str">
        <f>EUconst_ProcessCarbonate</f>
        <v>Proceso metu išsiskiriančios ŠESD</v>
      </c>
      <c r="BE1422" s="493"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4" t="b">
        <f>BZ1417</f>
        <v>1</v>
      </c>
    </row>
    <row r="1423" spans="1:78" s="142" customFormat="1" ht="4.5" hidden="1" customHeight="1">
      <c r="A1423" s="808"/>
      <c r="B1423" s="166"/>
      <c r="C1423" s="814"/>
      <c r="D1423" s="306"/>
      <c r="F1423" s="143"/>
      <c r="G1423" s="143"/>
      <c r="H1423" s="143" t="s">
        <v>236</v>
      </c>
      <c r="I1423" s="525"/>
      <c r="J1423" s="525"/>
      <c r="K1423" s="143"/>
      <c r="L1423" s="143"/>
      <c r="M1423" s="710"/>
      <c r="O1423" s="733"/>
      <c r="P1423" s="33"/>
      <c r="Q1423" s="33"/>
      <c r="R1423" s="33"/>
      <c r="S1423" s="30"/>
      <c r="T1423" s="155"/>
      <c r="U1423" s="497"/>
      <c r="V1423" s="30"/>
      <c r="W1423" s="30"/>
      <c r="X1423" s="497"/>
      <c r="Y1423" s="526"/>
      <c r="Z1423" s="30"/>
      <c r="AA1423" s="30"/>
      <c r="AB1423" s="30"/>
      <c r="AC1423" s="30"/>
      <c r="AD1423" s="30"/>
      <c r="AE1423" s="30"/>
      <c r="AF1423" s="30"/>
      <c r="AG1423" s="30"/>
      <c r="AH1423" s="30"/>
      <c r="AI1423" s="30"/>
      <c r="AJ1423" s="30"/>
      <c r="AK1423" s="30"/>
      <c r="AL1423" s="342"/>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3"/>
    </row>
    <row r="1424" spans="1:78" s="142" customFormat="1" ht="12.75" hidden="1" customHeight="1" thickBot="1">
      <c r="A1424" s="808"/>
      <c r="B1424" s="166"/>
      <c r="C1424" s="814" t="s">
        <v>197</v>
      </c>
      <c r="D1424" s="512" t="str">
        <f>Translations!$B$634</f>
        <v>(prelim.) ITF:</v>
      </c>
      <c r="E1424" s="513"/>
      <c r="F1424" s="527"/>
      <c r="G1424" s="1532" t="str">
        <f t="shared" ref="G1424:G1430" si="350">IF(OR(ISBLANK(F1424),F1424=EUconst_NoTier),"",IF(Z1424=0,EUconst_NotApplicable,IF(ISERROR(Z1424),"",Z1424)))</f>
        <v/>
      </c>
      <c r="H1424" s="1556"/>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3"/>
      <c r="Q1424" s="33"/>
      <c r="R1424" s="33"/>
      <c r="S1424" s="30"/>
      <c r="T1424" s="530" t="str">
        <f>EUconst_CNTR_EF&amp;E1413</f>
        <v>EF_</v>
      </c>
      <c r="U1424" s="497"/>
      <c r="V1424" s="531" t="str">
        <f>V1422</f>
        <v/>
      </c>
      <c r="W1424" s="30"/>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0"/>
      <c r="AC1424" s="535" t="b">
        <f>AND(AC1422,Y1424&lt;&gt;EUconst_NA)</f>
        <v>0</v>
      </c>
      <c r="AD1424" s="30"/>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0"/>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0"/>
      <c r="BA1424" s="30"/>
      <c r="BB1424" s="547" t="s">
        <v>594</v>
      </c>
      <c r="BC1424" s="546" t="str">
        <f>IF(K1412=BC1422,AR1422*IF(AJ1424=EUconst_tCO2pTJ,(AR1425/1000),1)*AR1424*AR1426*AR1430,"")</f>
        <v/>
      </c>
      <c r="BD1424" s="524" t="str">
        <f>IF(K1412=BD1422,AR1422*AR1424*AR1427*AR1430,"")</f>
        <v/>
      </c>
      <c r="BE1424" s="523"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1" t="b">
        <f>OR(BZ1422,Y1424=EUconst_NA)</f>
        <v>1</v>
      </c>
    </row>
    <row r="1425" spans="1:78" s="142" customFormat="1" ht="7.5" hidden="1" customHeight="1" thickBot="1">
      <c r="A1425" s="808"/>
      <c r="B1425" s="166"/>
      <c r="C1425" s="814" t="s">
        <v>198</v>
      </c>
      <c r="D1425" s="512" t="str">
        <f>Translations!$B$636</f>
        <v>GŠV:</v>
      </c>
      <c r="E1425" s="513"/>
      <c r="F1425" s="548"/>
      <c r="G1425" s="1532" t="str">
        <f t="shared" si="350"/>
        <v/>
      </c>
      <c r="H1425" s="1533"/>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3"/>
      <c r="Q1425" s="33"/>
      <c r="R1425" s="33"/>
      <c r="S1425" s="30"/>
      <c r="T1425" s="552" t="str">
        <f>EUconst_CNTR_NCV&amp;E1413</f>
        <v>NCV_</v>
      </c>
      <c r="U1425" s="497"/>
      <c r="V1425" s="553" t="str">
        <f t="shared" ref="V1425:V1430" si="356">V1424</f>
        <v/>
      </c>
      <c r="W1425" s="30"/>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0"/>
      <c r="AC1425" s="557" t="b">
        <f>AND(AC1422,Y1425&lt;&gt;EUconst_NA)</f>
        <v>0</v>
      </c>
      <c r="AD1425" s="30"/>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0"/>
      <c r="AV1425" s="567" t="b">
        <f t="shared" si="353"/>
        <v>0</v>
      </c>
      <c r="AW1425" s="568" t="b">
        <f t="shared" si="354"/>
        <v>0</v>
      </c>
      <c r="AX1425" s="30"/>
      <c r="AY1425" s="553" t="b">
        <f t="shared" si="355"/>
        <v>0</v>
      </c>
      <c r="AZ1425" s="30"/>
      <c r="BA1425" s="30"/>
      <c r="BB1425" s="547" t="s">
        <v>595</v>
      </c>
      <c r="BC1425" s="546" t="str">
        <f>IF(K1412=BC1422,AR1422*IF(AJ1424=EUconst_tCO2pTJ,(AR1425/1000),1)*AR1424*AR1426*AR1429,"")</f>
        <v/>
      </c>
      <c r="BD1425" s="524" t="str">
        <f>IF(K1412=BD1422,AR1422*AR1424*AR1427*AR1429,"")</f>
        <v/>
      </c>
      <c r="BE1425" s="523"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3" t="b">
        <f>OR(BZ1422,Y1425=EUconst_NA)</f>
        <v>1</v>
      </c>
    </row>
    <row r="1426" spans="1:78" s="142" customFormat="1" ht="12.75" hidden="1" customHeight="1" thickBot="1">
      <c r="A1426" s="808"/>
      <c r="B1426" s="166"/>
      <c r="C1426" s="814" t="s">
        <v>199</v>
      </c>
      <c r="D1426" s="512" t="str">
        <f>Translations!$B$638</f>
        <v>OksK:</v>
      </c>
      <c r="E1426" s="513"/>
      <c r="F1426" s="548"/>
      <c r="G1426" s="1532" t="str">
        <f t="shared" si="350"/>
        <v/>
      </c>
      <c r="H1426" s="1533"/>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3"/>
      <c r="Q1426" s="33"/>
      <c r="R1426" s="33"/>
      <c r="S1426" s="30"/>
      <c r="T1426" s="552" t="str">
        <f>EUconst_CNTR_OxidationFactor&amp;E1413</f>
        <v>OxF_</v>
      </c>
      <c r="U1426" s="497"/>
      <c r="V1426" s="553" t="str">
        <f t="shared" si="356"/>
        <v/>
      </c>
      <c r="W1426" s="30"/>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0"/>
      <c r="AC1426" s="557" t="b">
        <f>AND(AC1422,Y1426&lt;&gt;EUconst_NA)</f>
        <v>0</v>
      </c>
      <c r="AD1426" s="30"/>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0"/>
      <c r="AV1426" s="567" t="b">
        <f t="shared" si="353"/>
        <v>0</v>
      </c>
      <c r="AW1426" s="568" t="b">
        <f t="shared" si="354"/>
        <v>0</v>
      </c>
      <c r="AX1426" s="30"/>
      <c r="AY1426" s="594" t="b">
        <f t="shared" si="355"/>
        <v>0</v>
      </c>
      <c r="AZ1426" s="531" t="b">
        <f>AR1426&gt;100%</f>
        <v>0</v>
      </c>
      <c r="BA1426" s="30"/>
      <c r="BB1426" s="547" t="s">
        <v>290</v>
      </c>
      <c r="BC1426" s="546" t="str">
        <f>IF(K1412=BC1422,AR1422*IF(AJ1424=EUconst_tCO2pTJ,(AR1425/1000),1)*AR1424*AR1426*(1-AR1429),"")</f>
        <v/>
      </c>
      <c r="BD1426" s="524" t="str">
        <f>IF(K1412=BD1422,AR1422*AR1424*AR1427*(1-AR1429),"")</f>
        <v/>
      </c>
      <c r="BE1426" s="523"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3" t="b">
        <f>OR(BZ1422,Y1426=EUconst_NA)</f>
        <v>1</v>
      </c>
    </row>
    <row r="1427" spans="1:78" s="142" customFormat="1" ht="12.75" hidden="1" customHeight="1" thickBot="1">
      <c r="A1427" s="808"/>
      <c r="B1427" s="166"/>
      <c r="C1427" s="814" t="s">
        <v>200</v>
      </c>
      <c r="D1427" s="512" t="str">
        <f>Translations!$B$639</f>
        <v>KonvK:</v>
      </c>
      <c r="E1427" s="513"/>
      <c r="F1427" s="548"/>
      <c r="G1427" s="1532" t="str">
        <f t="shared" si="350"/>
        <v/>
      </c>
      <c r="H1427" s="1533"/>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3"/>
      <c r="Q1427" s="33"/>
      <c r="R1427" s="33"/>
      <c r="S1427" s="30"/>
      <c r="T1427" s="552" t="str">
        <f>EUconst_CNTR_ConversionFactor&amp;E1413</f>
        <v>ConvF_</v>
      </c>
      <c r="U1427" s="497"/>
      <c r="V1427" s="553" t="str">
        <f t="shared" si="356"/>
        <v/>
      </c>
      <c r="W1427" s="30"/>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0"/>
      <c r="AC1427" s="557" t="b">
        <f>AND(AC1422,Y1427&lt;&gt;EUconst_NA)</f>
        <v>0</v>
      </c>
      <c r="AD1427" s="30"/>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0"/>
      <c r="AV1427" s="567" t="b">
        <f t="shared" si="353"/>
        <v>0</v>
      </c>
      <c r="AW1427" s="568" t="b">
        <f t="shared" si="354"/>
        <v>0</v>
      </c>
      <c r="AX1427" s="30"/>
      <c r="AY1427" s="594" t="b">
        <f t="shared" si="355"/>
        <v>0</v>
      </c>
      <c r="AZ1427" s="580" t="b">
        <f>AR1427&gt;100%</f>
        <v>0</v>
      </c>
      <c r="BA1427" s="30"/>
      <c r="BB1427" s="578" t="s">
        <v>487</v>
      </c>
      <c r="BC1427" s="579">
        <f>AR1422*AR1425/1000*(1-AR1429)</f>
        <v>0</v>
      </c>
      <c r="BD1427" s="580">
        <f>BC1427</f>
        <v>0</v>
      </c>
      <c r="BE1427" s="581">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3" t="b">
        <f>OR(BZ1422,Y1427=EUconst_NA)</f>
        <v>1</v>
      </c>
    </row>
    <row r="1428" spans="1:78" s="142" customFormat="1" ht="12.75" hidden="1" customHeight="1" thickBot="1">
      <c r="A1428" s="808"/>
      <c r="B1428" s="166"/>
      <c r="C1428" s="814" t="s">
        <v>329</v>
      </c>
      <c r="D1428" s="512" t="str">
        <f>Translations!$B$640</f>
        <v>AnglK:</v>
      </c>
      <c r="E1428" s="513"/>
      <c r="F1428" s="548"/>
      <c r="G1428" s="1532" t="str">
        <f t="shared" si="350"/>
        <v/>
      </c>
      <c r="H1428" s="1533"/>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3"/>
      <c r="Q1428" s="33"/>
      <c r="R1428" s="33"/>
      <c r="S1428" s="30"/>
      <c r="T1428" s="552" t="str">
        <f>EUconst_CNTR_CarbonContent&amp;E1413</f>
        <v>CarbC_</v>
      </c>
      <c r="U1428" s="497"/>
      <c r="V1428" s="553" t="str">
        <f t="shared" si="356"/>
        <v/>
      </c>
      <c r="W1428" s="30"/>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0"/>
      <c r="AC1428" s="557" t="b">
        <f>AND(AC1422,Y1428&lt;&gt;EUconst_NA)</f>
        <v>0</v>
      </c>
      <c r="AD1428" s="30"/>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0"/>
      <c r="AV1428" s="567" t="b">
        <f t="shared" si="353"/>
        <v>0</v>
      </c>
      <c r="AW1428" s="568" t="b">
        <f t="shared" si="354"/>
        <v>0</v>
      </c>
      <c r="AX1428" s="546" t="b">
        <f>OR(AND(AJ1422=EUconst_kNm3,AJ1428=EUconst_tCpt),AND(AJ1422=EUconst_t,AJ1428=EUconst_tCpkNm3))</f>
        <v>0</v>
      </c>
      <c r="AY1428" s="553" t="b">
        <f t="shared" si="355"/>
        <v>0</v>
      </c>
      <c r="AZ1428" s="30"/>
      <c r="BA1428" s="30"/>
      <c r="BB1428" s="578" t="s">
        <v>488</v>
      </c>
      <c r="BC1428" s="579">
        <f>AR1422*AR1425/1000*AR1429</f>
        <v>0</v>
      </c>
      <c r="BD1428" s="580">
        <f>BC1428</f>
        <v>0</v>
      </c>
      <c r="BE1428" s="581">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3" t="b">
        <f>OR(BZ1422,Y1428=EUconst_NA)</f>
        <v>1</v>
      </c>
    </row>
    <row r="1429" spans="1:78" s="142" customFormat="1" ht="12.75" hidden="1" customHeight="1">
      <c r="A1429" s="808"/>
      <c r="B1429" s="166"/>
      <c r="C1429" s="777" t="s">
        <v>330</v>
      </c>
      <c r="D1429" s="512" t="str">
        <f>Translations!$B$641</f>
        <v>BioC:</v>
      </c>
      <c r="E1429" s="513"/>
      <c r="F1429" s="548"/>
      <c r="G1429" s="1532" t="str">
        <f t="shared" si="350"/>
        <v/>
      </c>
      <c r="H1429" s="1533"/>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0"/>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0"/>
      <c r="AC1429" s="557" t="b">
        <f>AND(AC1422,Y1429&lt;&gt;EUconst_NA)</f>
        <v>0</v>
      </c>
      <c r="AD1429" s="30"/>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0"/>
      <c r="AV1429" s="567" t="b">
        <f t="shared" si="353"/>
        <v>0</v>
      </c>
      <c r="AW1429" s="568" t="b">
        <f t="shared" si="354"/>
        <v>0</v>
      </c>
      <c r="AX1429" s="30"/>
      <c r="AY1429" s="594" t="b">
        <f t="shared" si="355"/>
        <v>0</v>
      </c>
      <c r="AZ1429" s="531"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3" t="b">
        <f>OR(BZ1422,Y1429=EUconst_NA)</f>
        <v>1</v>
      </c>
    </row>
    <row r="1430" spans="1:78" s="142" customFormat="1" ht="12.75" hidden="1" customHeight="1" thickBot="1">
      <c r="A1430" s="808"/>
      <c r="B1430" s="166"/>
      <c r="C1430" s="777" t="s">
        <v>454</v>
      </c>
      <c r="D1430" s="512" t="str">
        <f>Translations!$B$647</f>
        <v>Netvar. BioC:</v>
      </c>
      <c r="E1430" s="513"/>
      <c r="F1430" s="597"/>
      <c r="G1430" s="1532" t="str">
        <f t="shared" si="350"/>
        <v/>
      </c>
      <c r="H1430" s="1533"/>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0"/>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0"/>
      <c r="AC1430" s="603" t="b">
        <f>AND(AC1422,Y1430&lt;&gt;EUconst_NA)</f>
        <v>0</v>
      </c>
      <c r="AD1430" s="30"/>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0"/>
      <c r="AV1430" s="613" t="b">
        <f t="shared" si="353"/>
        <v>0</v>
      </c>
      <c r="AW1430" s="614" t="b">
        <f t="shared" si="354"/>
        <v>0</v>
      </c>
      <c r="AX1430" s="30"/>
      <c r="AY1430" s="579" t="b">
        <f t="shared" si="355"/>
        <v>0</v>
      </c>
      <c r="AZ1430" s="580"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80" t="b">
        <f>OR(BZ1422,Y1430=EUconst_NA)</f>
        <v>1</v>
      </c>
    </row>
    <row r="1431" spans="1:78" s="142" customFormat="1" ht="5.0999999999999996" hidden="1" customHeight="1">
      <c r="A1431" s="808"/>
      <c r="B1431" s="166"/>
      <c r="C1431" s="166"/>
      <c r="D1431" s="180"/>
      <c r="O1431" s="733"/>
      <c r="P1431" s="33"/>
      <c r="Q1431" s="33"/>
      <c r="R1431" s="33"/>
      <c r="S1431" s="174"/>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hidden="1" customHeight="1">
      <c r="A1432" s="808"/>
      <c r="B1432" s="166"/>
      <c r="C1432" s="166"/>
      <c r="D1432" s="1558" t="str">
        <f>Translations!$B$674</f>
        <v>Pakopos galioja nuo:</v>
      </c>
      <c r="E1432" s="1558"/>
      <c r="F1432" s="1559"/>
      <c r="G1432" s="1052"/>
      <c r="H1432" s="615" t="str">
        <f>Translations!$B$675</f>
        <v>iki:</v>
      </c>
      <c r="I1432" s="1052"/>
      <c r="J1432" s="1536" t="str">
        <f>Translations!$B$676</f>
        <v>Atliekų katalogo numeris (jeigu taikytina):</v>
      </c>
      <c r="K1432" s="1537"/>
      <c r="L1432" s="1537"/>
      <c r="M1432" s="1538"/>
      <c r="N1432" s="1289"/>
      <c r="O1432" s="733"/>
      <c r="P1432" s="33"/>
      <c r="Q1432" s="33"/>
      <c r="R1432" s="33"/>
      <c r="S1432" s="1290"/>
      <c r="T1432" s="492"/>
      <c r="U1432" s="492"/>
      <c r="V1432" s="48" t="b">
        <f>IF(V1422="",FALSE,INDEX(CNTR_IsWaste,MATCH(V1422,MSParameters!$A$218:$A$376,0)))</f>
        <v>0</v>
      </c>
      <c r="W1432" s="1290"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4.5" hidden="1" customHeight="1">
      <c r="A1433" s="808"/>
      <c r="B1433" s="166"/>
      <c r="C1433" s="166"/>
      <c r="D1433" s="615"/>
      <c r="E1433" s="495"/>
      <c r="F1433" s="495"/>
      <c r="G1433" s="495"/>
      <c r="H1433" s="495"/>
      <c r="I1433" s="495"/>
      <c r="J1433" s="495"/>
      <c r="K1433" s="495"/>
      <c r="L1433" s="495"/>
      <c r="M1433" s="495"/>
      <c r="N1433" s="495"/>
      <c r="O1433" s="733"/>
      <c r="P1433" s="33"/>
      <c r="Q1433" s="33"/>
      <c r="R1433" s="33"/>
      <c r="S1433" s="174"/>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hidden="1" customHeight="1">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3"/>
      <c r="Q1434" s="33"/>
      <c r="R1434" s="33"/>
      <c r="S1434" s="174"/>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4.5" hidden="1" customHeight="1">
      <c r="A1435" s="815"/>
      <c r="D1435" s="180"/>
      <c r="O1435" s="573"/>
      <c r="P1435" s="497"/>
      <c r="Q1435" s="497"/>
      <c r="R1435" s="497"/>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hidden="1">
      <c r="A1436" s="815"/>
      <c r="D1436" s="1534" t="str">
        <f>Translations!$B$160</f>
        <v>Pastabos:</v>
      </c>
      <c r="E1436" s="1535"/>
      <c r="F1436" s="1539"/>
      <c r="G1436" s="1540"/>
      <c r="H1436" s="1540"/>
      <c r="I1436" s="1540"/>
      <c r="J1436" s="1540"/>
      <c r="K1436" s="1540"/>
      <c r="L1436" s="1540"/>
      <c r="M1436" s="1540"/>
      <c r="N1436" s="1541"/>
      <c r="O1436" s="573"/>
      <c r="P1436" s="497"/>
      <c r="Q1436" s="497"/>
      <c r="R1436" s="497"/>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c r="A1437" s="808"/>
      <c r="B1437" s="495"/>
      <c r="C1437" s="499"/>
      <c r="D1437" s="500"/>
      <c r="E1437" s="501"/>
      <c r="F1437" s="499"/>
      <c r="G1437" s="502"/>
      <c r="H1437" s="502"/>
      <c r="I1437" s="502"/>
      <c r="J1437" s="502"/>
      <c r="K1437" s="502"/>
      <c r="L1437" s="502"/>
      <c r="M1437" s="502"/>
      <c r="N1437" s="502"/>
      <c r="O1437" s="740"/>
      <c r="P1437" s="494"/>
      <c r="Q1437" s="494"/>
      <c r="R1437" s="494"/>
      <c r="S1437" s="58"/>
      <c r="T1437" s="58"/>
      <c r="U1437" s="498"/>
      <c r="V1437" s="58"/>
      <c r="W1437" s="58"/>
      <c r="X1437" s="498"/>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c r="A1438" s="813"/>
      <c r="B1438" s="495"/>
      <c r="C1438" s="495"/>
      <c r="D1438" s="180"/>
      <c r="E1438" s="496"/>
      <c r="F1438" s="495"/>
      <c r="G1438" s="487"/>
      <c r="H1438" s="487"/>
      <c r="I1438" s="487"/>
      <c r="J1438" s="487"/>
      <c r="K1438" s="495"/>
      <c r="L1438" s="487"/>
      <c r="M1438" s="487"/>
      <c r="N1438" s="487"/>
      <c r="O1438" s="740"/>
      <c r="P1438" s="494"/>
      <c r="Q1438" s="494"/>
      <c r="R1438" s="494"/>
      <c r="S1438" s="23"/>
      <c r="T1438" s="27" t="str">
        <f>IF(ISBLANK(E1439),"",MATCH(E1439,CNTR_SourceStreamNames,0))</f>
        <v/>
      </c>
      <c r="U1438" s="618"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1"/>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3" t="s">
        <v>262</v>
      </c>
    </row>
    <row r="1439" spans="1:78" s="142" customFormat="1" ht="15" hidden="1" customHeight="1" thickBot="1">
      <c r="A1439" s="869" t="str">
        <f>IF(E1439="","","PRINT")</f>
        <v/>
      </c>
      <c r="B1439" s="166"/>
      <c r="C1439" s="617">
        <f>C1412+1</f>
        <v>52</v>
      </c>
      <c r="D1439" s="166"/>
      <c r="E1439" s="1542"/>
      <c r="F1439" s="1543"/>
      <c r="G1439" s="1543"/>
      <c r="H1439" s="1543"/>
      <c r="I1439" s="1543"/>
      <c r="J1439" s="1544"/>
      <c r="K1439" s="1545" t="str">
        <f>IF(E1440="","",INDEX(EUwideConstants!$F$353:$F$394,MATCH(E1440,EUConst_TierActivityListNames,0)))</f>
        <v/>
      </c>
      <c r="L1439" s="1546"/>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3"/>
      <c r="T1439" s="509" t="s">
        <v>393</v>
      </c>
      <c r="U1439" s="23"/>
      <c r="V1439" s="78"/>
      <c r="W1439" s="56"/>
      <c r="X1439" s="58"/>
      <c r="Y1439" s="58"/>
      <c r="Z1439" s="58"/>
      <c r="AA1439" s="58"/>
      <c r="AB1439" s="58"/>
      <c r="AC1439" s="58"/>
      <c r="AD1439" s="58"/>
      <c r="AE1439" s="58"/>
      <c r="AF1439" s="58"/>
      <c r="AG1439" s="58"/>
      <c r="AH1439" s="58"/>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6"/>
      <c r="BZ1439" s="619" t="b">
        <f>CNTR_CalcRelevant=EUconst_NotRelevant</f>
        <v>0</v>
      </c>
    </row>
    <row r="1440" spans="1:78" s="142" customFormat="1" ht="15" hidden="1" customHeight="1" thickBot="1">
      <c r="A1440" s="808"/>
      <c r="B1440" s="166"/>
      <c r="C1440" s="166"/>
      <c r="D1440" s="166"/>
      <c r="E1440" s="1547" t="str">
        <f>IF(ISBLANK(E1439),"",IF(INDEX(B_InstallationDescription!$E$71:$E$145,MATCH(U1438,B_InstallationDescription!$D$71:$D$145,0))&gt;0,INDEX(B_InstallationDescription!$E$71:$E$145,MATCH(U1438,B_InstallationDescription!$D$71:$D$145,0)),""))</f>
        <v/>
      </c>
      <c r="F1440" s="1548"/>
      <c r="G1440" s="1548"/>
      <c r="H1440" s="1548"/>
      <c r="I1440" s="1548"/>
      <c r="J1440" s="1549"/>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4"/>
      <c r="AH1440" s="30"/>
      <c r="AI1440" s="30"/>
      <c r="AJ1440" s="504"/>
      <c r="AK1440" s="504"/>
      <c r="AL1440" s="342"/>
      <c r="AM1440" s="27" t="s">
        <v>308</v>
      </c>
      <c r="AN1440" s="505"/>
      <c r="AO1440" s="505"/>
      <c r="AP1440" s="30"/>
      <c r="AQ1440" s="30"/>
      <c r="AR1440" s="30"/>
      <c r="AS1440" s="30"/>
      <c r="AT1440" s="30"/>
      <c r="AU1440" s="30"/>
      <c r="AV1440" s="27" t="s">
        <v>315</v>
      </c>
      <c r="AW1440" s="30"/>
      <c r="AX1440" s="492"/>
      <c r="AY1440" s="30"/>
      <c r="AZ1440" s="30"/>
      <c r="BA1440" s="30"/>
      <c r="BB1440" s="27" t="s">
        <v>219</v>
      </c>
      <c r="BC1440" s="30"/>
      <c r="BD1440" s="30"/>
      <c r="BE1440" s="30"/>
      <c r="BF1440" s="30"/>
      <c r="BG1440" s="27"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0"/>
      <c r="BZ1440" s="30"/>
    </row>
    <row r="1441" spans="1:78" s="142" customFormat="1" ht="4.5" hidden="1" customHeight="1">
      <c r="A1441" s="808"/>
      <c r="B1441" s="166"/>
      <c r="C1441" s="166"/>
      <c r="D1441" s="166"/>
      <c r="E1441" s="166"/>
      <c r="F1441" s="166"/>
      <c r="G1441" s="166"/>
      <c r="M1441" s="143"/>
      <c r="N1441" s="143"/>
      <c r="O1441" s="733"/>
      <c r="P1441" s="33"/>
      <c r="Q1441" s="33"/>
      <c r="R1441" s="33"/>
      <c r="S1441" s="23"/>
      <c r="T1441" s="23"/>
      <c r="U1441" s="23"/>
      <c r="V1441" s="78"/>
      <c r="W1441" s="30"/>
      <c r="X1441" s="30"/>
      <c r="Y1441" s="494"/>
      <c r="Z1441" s="30"/>
      <c r="AA1441" s="30"/>
      <c r="AB1441" s="30"/>
      <c r="AC1441" s="30"/>
      <c r="AD1441" s="30"/>
      <c r="AE1441" s="30"/>
      <c r="AF1441" s="58"/>
      <c r="AG1441" s="30"/>
      <c r="AH1441" s="30"/>
      <c r="AI1441" s="30"/>
      <c r="AJ1441" s="504"/>
      <c r="AK1441" s="504"/>
      <c r="AL1441" s="342"/>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hidden="1" customHeight="1" thickBot="1">
      <c r="A1442" s="808"/>
      <c r="B1442" s="166"/>
      <c r="C1442" s="166"/>
      <c r="D1442" s="166"/>
      <c r="E1442" s="1550" t="str">
        <f>IF(E1439="","",IF(T1440=TRUE,HYPERLINK("#JUMP_14",EUconst_MsgGoOnPFC),HYPERLINK("#JUMP_E_8",EUconst_FurtherGuidancePoint1)))</f>
        <v/>
      </c>
      <c r="F1442" s="1550"/>
      <c r="G1442" s="1550"/>
      <c r="H1442" s="1550"/>
      <c r="I1442" s="1550"/>
      <c r="J1442" s="1550"/>
      <c r="K1442" s="1550"/>
      <c r="L1442" s="1550"/>
      <c r="M1442" s="1550"/>
      <c r="N1442" s="143"/>
      <c r="O1442" s="733"/>
      <c r="P1442" s="33"/>
      <c r="Q1442" s="352" t="str">
        <f>EUconst_SumNonSustBioCO2 &amp; "_" &amp; K1439</f>
        <v>SUM_bioNonSustCO2_</v>
      </c>
      <c r="R1442" s="707"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4"/>
      <c r="AK1442" s="504"/>
      <c r="AL1442" s="342"/>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4.5" hidden="1" customHeight="1">
      <c r="A1443" s="808"/>
      <c r="B1443" s="166"/>
      <c r="C1443" s="166"/>
      <c r="D1443" s="166"/>
      <c r="E1443" s="166"/>
      <c r="F1443" s="166"/>
      <c r="G1443" s="166"/>
      <c r="M1443" s="143"/>
      <c r="N1443" s="143"/>
      <c r="O1443" s="733"/>
      <c r="P1443" s="23"/>
      <c r="Q1443" s="23"/>
      <c r="R1443" s="23"/>
      <c r="S1443" s="23"/>
      <c r="T1443" s="23"/>
      <c r="U1443" s="23"/>
      <c r="V1443" s="30"/>
      <c r="W1443" s="30"/>
      <c r="X1443" s="30"/>
      <c r="Y1443" s="494"/>
      <c r="Z1443" s="30"/>
      <c r="AA1443" s="30"/>
      <c r="AB1443" s="30"/>
      <c r="AC1443" s="30"/>
      <c r="AD1443" s="30"/>
      <c r="AE1443" s="30"/>
      <c r="AF1443" s="58"/>
      <c r="AG1443" s="30"/>
      <c r="AH1443" s="30"/>
      <c r="AI1443" s="30"/>
      <c r="AJ1443" s="504"/>
      <c r="AK1443" s="504"/>
      <c r="AL1443" s="342"/>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hidden="1" customHeight="1" thickBot="1">
      <c r="A1444" s="808"/>
      <c r="B1444" s="166"/>
      <c r="C1444" s="814" t="s">
        <v>4</v>
      </c>
      <c r="D1444" s="512" t="str">
        <f>Translations!$B$622</f>
        <v>VD:</v>
      </c>
      <c r="E1444" s="1560" t="str">
        <f>Translations!$B$667</f>
        <v>Ar veiklos duomenys gaunami sudedant išmatuotus kiekius (t. y. ne atliekant nuolatinius matavimus)?</v>
      </c>
      <c r="F1444" s="1560"/>
      <c r="G1444" s="1560"/>
      <c r="H1444" s="1560"/>
      <c r="I1444" s="1560"/>
      <c r="J1444" s="1560"/>
      <c r="K1444" s="1560"/>
      <c r="L1444" s="1179"/>
      <c r="M1444" s="507"/>
      <c r="O1444" s="733"/>
      <c r="P1444" s="23"/>
      <c r="Q1444" s="23"/>
      <c r="R1444" s="23"/>
      <c r="S1444" s="23"/>
      <c r="T1444" s="23"/>
      <c r="U1444" s="23"/>
      <c r="V1444" s="30"/>
      <c r="W1444" s="30"/>
      <c r="X1444" s="30"/>
      <c r="Y1444" s="494"/>
      <c r="Z1444" s="30"/>
      <c r="AA1444" s="30"/>
      <c r="AB1444" s="30"/>
      <c r="AC1444" s="1172" t="b">
        <f>AND(E1439&lt;&gt;"",T1440&lt;&gt;TRUE)</f>
        <v>0</v>
      </c>
      <c r="AD1444" s="30"/>
      <c r="AE1444" s="30"/>
      <c r="AF1444" s="58"/>
      <c r="AG1444" s="30"/>
      <c r="AH1444" s="30"/>
      <c r="AI1444" s="30"/>
      <c r="AJ1444" s="504"/>
      <c r="AK1444" s="504"/>
      <c r="AL1444" s="342"/>
      <c r="AM1444" s="30"/>
      <c r="AN1444" s="30"/>
      <c r="AO1444" s="30"/>
      <c r="AP1444" s="30"/>
      <c r="AQ1444" s="30"/>
      <c r="AR1444" s="30"/>
      <c r="AS1444" s="30"/>
      <c r="AT1444" s="1172"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2" t="b">
        <f>OR(CNTR_CalcRelevant=EUconst_NotRelevant,AND(COUNTA(CNTR_ListRelevantSections)&gt;0,OR(T1440=TRUE,E1439="")))</f>
        <v>1</v>
      </c>
    </row>
    <row r="1445" spans="1:78" s="142" customFormat="1" ht="5.0999999999999996" hidden="1" customHeight="1">
      <c r="A1445" s="808"/>
      <c r="B1445" s="166"/>
      <c r="C1445" s="166"/>
      <c r="D1445" s="166"/>
      <c r="E1445" s="166"/>
      <c r="F1445" s="166"/>
      <c r="G1445" s="166"/>
      <c r="H1445" s="495"/>
      <c r="I1445" s="495"/>
      <c r="J1445" s="495"/>
      <c r="K1445" s="495"/>
      <c r="L1445" s="495"/>
      <c r="M1445" s="507"/>
      <c r="O1445" s="733"/>
      <c r="P1445" s="23"/>
      <c r="Q1445" s="23"/>
      <c r="R1445" s="23"/>
      <c r="S1445" s="23"/>
      <c r="T1445" s="23"/>
      <c r="U1445" s="23"/>
      <c r="V1445" s="30"/>
      <c r="W1445" s="30"/>
      <c r="X1445" s="30"/>
      <c r="Y1445" s="494"/>
      <c r="Z1445" s="30"/>
      <c r="AA1445" s="30"/>
      <c r="AB1445" s="30"/>
      <c r="AC1445" s="492"/>
      <c r="AD1445" s="30"/>
      <c r="AE1445" s="30"/>
      <c r="AF1445" s="58"/>
      <c r="AG1445" s="30"/>
      <c r="AH1445" s="30"/>
      <c r="AI1445" s="30"/>
      <c r="AJ1445" s="504"/>
      <c r="AK1445" s="504"/>
      <c r="AL1445" s="342"/>
      <c r="AM1445" s="30"/>
      <c r="AN1445" s="30"/>
      <c r="AO1445" s="30"/>
      <c r="AP1445" s="30"/>
      <c r="AQ1445" s="30"/>
      <c r="AR1445" s="30"/>
      <c r="AS1445" s="30"/>
      <c r="AT1445" s="492"/>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2"/>
    </row>
    <row r="1446" spans="1:78" s="142" customFormat="1" ht="12.75" hidden="1" customHeight="1" thickBot="1">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3"/>
      <c r="Q1446" s="23"/>
      <c r="R1446" s="23"/>
      <c r="S1446" s="23"/>
      <c r="T1446" s="23"/>
      <c r="U1446" s="23"/>
      <c r="V1446" s="30"/>
      <c r="W1446" s="30"/>
      <c r="X1446" s="30"/>
      <c r="Y1446" s="494"/>
      <c r="Z1446" s="30"/>
      <c r="AA1446" s="30"/>
      <c r="AB1446" s="30"/>
      <c r="AC1446" s="1172" t="b">
        <f>AC1444</f>
        <v>0</v>
      </c>
      <c r="AD1446" s="30"/>
      <c r="AE1446" s="30"/>
      <c r="AF1446" s="58"/>
      <c r="AG1446" s="30"/>
      <c r="AH1446" s="30"/>
      <c r="AI1446" s="30"/>
      <c r="AJ1446" s="504"/>
      <c r="AK1446" s="504"/>
      <c r="AL1446" s="342"/>
      <c r="AM1446" s="30"/>
      <c r="AN1446" s="30"/>
      <c r="AO1446" s="30"/>
      <c r="AP1446" s="30"/>
      <c r="AQ1446" s="30"/>
      <c r="AR1446" s="30"/>
      <c r="AS1446" s="30"/>
      <c r="AT1446" s="1172"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2" t="b">
        <f>OR(BZ1444,AND(NOT(ISBLANK(L1444)),L1444=FALSE))</f>
        <v>1</v>
      </c>
    </row>
    <row r="1447" spans="1:78" s="142" customFormat="1" ht="4.5" hidden="1" customHeight="1">
      <c r="A1447" s="808"/>
      <c r="B1447" s="166"/>
      <c r="C1447" s="166"/>
      <c r="D1447" s="166"/>
      <c r="E1447" s="166"/>
      <c r="F1447" s="166"/>
      <c r="G1447" s="166"/>
      <c r="M1447" s="143"/>
      <c r="N1447" s="143"/>
      <c r="O1447" s="733"/>
      <c r="P1447" s="23"/>
      <c r="Q1447" s="23"/>
      <c r="R1447" s="23"/>
      <c r="S1447" s="23"/>
      <c r="T1447" s="23"/>
      <c r="U1447" s="23"/>
      <c r="V1447" s="30"/>
      <c r="W1447" s="30"/>
      <c r="X1447" s="30"/>
      <c r="Y1447" s="494"/>
      <c r="Z1447" s="30"/>
      <c r="AA1447" s="30"/>
      <c r="AB1447" s="30"/>
      <c r="AC1447" s="30"/>
      <c r="AD1447" s="30"/>
      <c r="AE1447" s="30"/>
      <c r="AF1447" s="58"/>
      <c r="AG1447" s="30"/>
      <c r="AH1447" s="30"/>
      <c r="AI1447" s="30"/>
      <c r="AJ1447" s="504"/>
      <c r="AK1447" s="504"/>
      <c r="AL1447" s="342"/>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hidden="1" customHeight="1" thickBot="1">
      <c r="A1448" s="808"/>
      <c r="B1448" s="166"/>
      <c r="C1448" s="166"/>
      <c r="D1448" s="166"/>
      <c r="E1448" s="166"/>
      <c r="F1448" s="506" t="str">
        <f>Translations!$B$333</f>
        <v>Pakopa</v>
      </c>
      <c r="G1448" s="1557" t="str">
        <f>Translations!$B$672</f>
        <v>pakopos aprašas</v>
      </c>
      <c r="H1448" s="1557"/>
      <c r="I1448" s="1555" t="str">
        <f>Translations!$B$158</f>
        <v>Vienetas</v>
      </c>
      <c r="J1448" s="1555"/>
      <c r="K1448" s="1555" t="str">
        <f>Translations!$B$673</f>
        <v>Vertė</v>
      </c>
      <c r="L1448" s="1555"/>
      <c r="M1448" s="507" t="str">
        <f>Translations!$B$610</f>
        <v>klaida</v>
      </c>
      <c r="O1448" s="733"/>
      <c r="P1448" s="508"/>
      <c r="Q1448" s="352" t="str">
        <f>EUconst_SumEnergyIN &amp; "_" &amp; K1439</f>
        <v>SUM_EnergyIN_</v>
      </c>
      <c r="R1448" s="399" t="str">
        <f>IF(OR(K1439="",T1440)=TRUE,"",INDEX(BC1454:BE1454,MATCH(K1439,BC1449:BE1449,0)))</f>
        <v/>
      </c>
      <c r="S1448" s="30"/>
      <c r="T1448" s="489"/>
      <c r="U1448" s="30"/>
      <c r="V1448" s="509" t="s">
        <v>303</v>
      </c>
      <c r="W1448" s="30"/>
      <c r="X1448" s="30"/>
      <c r="Y1448" s="494" t="s">
        <v>566</v>
      </c>
      <c r="Z1448" s="494" t="s">
        <v>318</v>
      </c>
      <c r="AA1448" s="30"/>
      <c r="AB1448" s="30"/>
      <c r="AC1448" s="505" t="s">
        <v>309</v>
      </c>
      <c r="AD1448" s="30"/>
      <c r="AE1448" s="30"/>
      <c r="AF1448" s="492" t="s">
        <v>305</v>
      </c>
      <c r="AG1448" s="492" t="s">
        <v>306</v>
      </c>
      <c r="AH1448" s="494" t="s">
        <v>304</v>
      </c>
      <c r="AI1448" s="504" t="s">
        <v>307</v>
      </c>
      <c r="AJ1448" s="504" t="s">
        <v>567</v>
      </c>
      <c r="AK1448" s="510" t="s">
        <v>311</v>
      </c>
      <c r="AL1448" s="342"/>
      <c r="AM1448" s="30"/>
      <c r="AN1448" s="492" t="s">
        <v>305</v>
      </c>
      <c r="AO1448" s="492" t="s">
        <v>306</v>
      </c>
      <c r="AP1448" s="511" t="s">
        <v>310</v>
      </c>
      <c r="AQ1448" s="504" t="s">
        <v>569</v>
      </c>
      <c r="AR1448" s="504" t="s">
        <v>568</v>
      </c>
      <c r="AS1448" s="510" t="s">
        <v>609</v>
      </c>
      <c r="AT1448" s="510" t="s">
        <v>609</v>
      </c>
      <c r="AU1448" s="30"/>
      <c r="AV1448" s="492"/>
      <c r="AW1448" s="492"/>
      <c r="AX1448" s="492" t="s">
        <v>321</v>
      </c>
      <c r="AY1448" s="492"/>
      <c r="AZ1448" s="492"/>
      <c r="BA1448" s="492"/>
      <c r="BB1448" s="492"/>
      <c r="BC1448" s="492"/>
      <c r="BD1448" s="492"/>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3" t="s">
        <v>262</v>
      </c>
    </row>
    <row r="1449" spans="1:78" s="142" customFormat="1" ht="12.75" hidden="1" customHeight="1" thickBot="1">
      <c r="A1449" s="808"/>
      <c r="B1449" s="166"/>
      <c r="C1449" s="777" t="s">
        <v>196</v>
      </c>
      <c r="D1449" s="512" t="str">
        <f>Translations!$B$622</f>
        <v>VD:</v>
      </c>
      <c r="E1449" s="513"/>
      <c r="F1449" s="402"/>
      <c r="G1449" s="1532" t="str">
        <f>IF(OR(ISBLANK(F1449),F1449=EUconst_NoTier),"",IF(Z1449=0,EUconst_NA,IF(ISERROR(Z1449),"",Z1449)))</f>
        <v/>
      </c>
      <c r="H1449" s="1533"/>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0"/>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0"/>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0"/>
      <c r="AV1449" s="492" t="s">
        <v>314</v>
      </c>
      <c r="AW1449" s="492" t="s">
        <v>319</v>
      </c>
      <c r="AX1449" s="524"/>
      <c r="AY1449" s="30" t="s">
        <v>542</v>
      </c>
      <c r="AZ1449" s="30"/>
      <c r="BA1449" s="30"/>
      <c r="BB1449" s="504"/>
      <c r="BC1449" s="493" t="str">
        <f>EUconst_Fuel</f>
        <v>Degimas</v>
      </c>
      <c r="BD1449" s="493" t="str">
        <f>EUconst_ProcessCarbonate</f>
        <v>Proceso metu išsiskiriančios ŠESD</v>
      </c>
      <c r="BE1449" s="493"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4" t="b">
        <f>BZ1444</f>
        <v>1</v>
      </c>
    </row>
    <row r="1450" spans="1:78" s="142" customFormat="1" ht="4.5" hidden="1" customHeight="1">
      <c r="A1450" s="808"/>
      <c r="B1450" s="166"/>
      <c r="C1450" s="814"/>
      <c r="D1450" s="306"/>
      <c r="F1450" s="143"/>
      <c r="G1450" s="143"/>
      <c r="H1450" s="143" t="s">
        <v>236</v>
      </c>
      <c r="I1450" s="525"/>
      <c r="J1450" s="525"/>
      <c r="K1450" s="143"/>
      <c r="L1450" s="143"/>
      <c r="M1450" s="710"/>
      <c r="O1450" s="733"/>
      <c r="P1450" s="33"/>
      <c r="Q1450" s="33"/>
      <c r="R1450" s="33"/>
      <c r="S1450" s="30"/>
      <c r="T1450" s="155"/>
      <c r="U1450" s="497"/>
      <c r="V1450" s="30"/>
      <c r="W1450" s="30"/>
      <c r="X1450" s="497"/>
      <c r="Y1450" s="526"/>
      <c r="Z1450" s="30"/>
      <c r="AA1450" s="30"/>
      <c r="AB1450" s="30"/>
      <c r="AC1450" s="30"/>
      <c r="AD1450" s="30"/>
      <c r="AE1450" s="30"/>
      <c r="AF1450" s="30"/>
      <c r="AG1450" s="30"/>
      <c r="AH1450" s="30"/>
      <c r="AI1450" s="30"/>
      <c r="AJ1450" s="30"/>
      <c r="AK1450" s="30"/>
      <c r="AL1450" s="342"/>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3"/>
    </row>
    <row r="1451" spans="1:78" s="142" customFormat="1" ht="12.75" hidden="1" customHeight="1" thickBot="1">
      <c r="A1451" s="808"/>
      <c r="B1451" s="166"/>
      <c r="C1451" s="814" t="s">
        <v>197</v>
      </c>
      <c r="D1451" s="512" t="str">
        <f>Translations!$B$634</f>
        <v>(prelim.) ITF:</v>
      </c>
      <c r="E1451" s="513"/>
      <c r="F1451" s="527"/>
      <c r="G1451" s="1532" t="str">
        <f t="shared" ref="G1451:G1457" si="357">IF(OR(ISBLANK(F1451),F1451=EUconst_NoTier),"",IF(Z1451=0,EUconst_NotApplicable,IF(ISERROR(Z1451),"",Z1451)))</f>
        <v/>
      </c>
      <c r="H1451" s="1556"/>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3"/>
      <c r="Q1451" s="33"/>
      <c r="R1451" s="33"/>
      <c r="S1451" s="30"/>
      <c r="T1451" s="530" t="str">
        <f>EUconst_CNTR_EF&amp;E1440</f>
        <v>EF_</v>
      </c>
      <c r="U1451" s="497"/>
      <c r="V1451" s="531" t="str">
        <f>V1449</f>
        <v/>
      </c>
      <c r="W1451" s="30"/>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0"/>
      <c r="AC1451" s="535" t="b">
        <f>AND(AC1449,Y1451&lt;&gt;EUconst_NA)</f>
        <v>0</v>
      </c>
      <c r="AD1451" s="30"/>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0"/>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0"/>
      <c r="BA1451" s="30"/>
      <c r="BB1451" s="547" t="s">
        <v>594</v>
      </c>
      <c r="BC1451" s="546" t="str">
        <f>IF(K1439=BC1449,AR1449*IF(AJ1451=EUconst_tCO2pTJ,(AR1452/1000),1)*AR1451*AR1453*AR1457,"")</f>
        <v/>
      </c>
      <c r="BD1451" s="524" t="str">
        <f>IF(K1439=BD1449,AR1449*AR1451*AR1454*AR1457,"")</f>
        <v/>
      </c>
      <c r="BE1451" s="523"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1" t="b">
        <f>OR(BZ1449,Y1451=EUconst_NA)</f>
        <v>1</v>
      </c>
    </row>
    <row r="1452" spans="1:78" s="142" customFormat="1" ht="12.75" hidden="1" customHeight="1" thickBot="1">
      <c r="A1452" s="808"/>
      <c r="B1452" s="166"/>
      <c r="C1452" s="814" t="s">
        <v>198</v>
      </c>
      <c r="D1452" s="512" t="str">
        <f>Translations!$B$636</f>
        <v>GŠV:</v>
      </c>
      <c r="E1452" s="513"/>
      <c r="F1452" s="548"/>
      <c r="G1452" s="1532" t="str">
        <f t="shared" si="357"/>
        <v/>
      </c>
      <c r="H1452" s="1533"/>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3"/>
      <c r="Q1452" s="33"/>
      <c r="R1452" s="33"/>
      <c r="S1452" s="30"/>
      <c r="T1452" s="552" t="str">
        <f>EUconst_CNTR_NCV&amp;E1440</f>
        <v>NCV_</v>
      </c>
      <c r="U1452" s="497"/>
      <c r="V1452" s="553" t="str">
        <f t="shared" ref="V1452:V1457" si="363">V1451</f>
        <v/>
      </c>
      <c r="W1452" s="30"/>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0"/>
      <c r="AC1452" s="557" t="b">
        <f>AND(AC1449,Y1452&lt;&gt;EUconst_NA)</f>
        <v>0</v>
      </c>
      <c r="AD1452" s="30"/>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0"/>
      <c r="AV1452" s="567" t="b">
        <f t="shared" si="360"/>
        <v>0</v>
      </c>
      <c r="AW1452" s="568" t="b">
        <f t="shared" si="361"/>
        <v>0</v>
      </c>
      <c r="AX1452" s="30"/>
      <c r="AY1452" s="553" t="b">
        <f t="shared" si="362"/>
        <v>0</v>
      </c>
      <c r="AZ1452" s="30"/>
      <c r="BA1452" s="30"/>
      <c r="BB1452" s="547" t="s">
        <v>595</v>
      </c>
      <c r="BC1452" s="546" t="str">
        <f>IF(K1439=BC1449,AR1449*IF(AJ1451=EUconst_tCO2pTJ,(AR1452/1000),1)*AR1451*AR1453*AR1456,"")</f>
        <v/>
      </c>
      <c r="BD1452" s="524" t="str">
        <f>IF(K1439=BD1449,AR1449*AR1451*AR1454*AR1456,"")</f>
        <v/>
      </c>
      <c r="BE1452" s="523"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3" t="b">
        <f>OR(BZ1449,Y1452=EUconst_NA)</f>
        <v>1</v>
      </c>
    </row>
    <row r="1453" spans="1:78" s="142" customFormat="1" ht="12.75" hidden="1" customHeight="1" thickBot="1">
      <c r="A1453" s="808"/>
      <c r="B1453" s="166"/>
      <c r="C1453" s="814" t="s">
        <v>199</v>
      </c>
      <c r="D1453" s="512" t="str">
        <f>Translations!$B$638</f>
        <v>OksK:</v>
      </c>
      <c r="E1453" s="513"/>
      <c r="F1453" s="548"/>
      <c r="G1453" s="1532" t="str">
        <f t="shared" si="357"/>
        <v/>
      </c>
      <c r="H1453" s="1533"/>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3"/>
      <c r="Q1453" s="33"/>
      <c r="R1453" s="33"/>
      <c r="S1453" s="30"/>
      <c r="T1453" s="552" t="str">
        <f>EUconst_CNTR_OxidationFactor&amp;E1440</f>
        <v>OxF_</v>
      </c>
      <c r="U1453" s="497"/>
      <c r="V1453" s="553" t="str">
        <f t="shared" si="363"/>
        <v/>
      </c>
      <c r="W1453" s="30"/>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0"/>
      <c r="AC1453" s="557" t="b">
        <f>AND(AC1449,Y1453&lt;&gt;EUconst_NA)</f>
        <v>0</v>
      </c>
      <c r="AD1453" s="30"/>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0"/>
      <c r="AV1453" s="567" t="b">
        <f t="shared" si="360"/>
        <v>0</v>
      </c>
      <c r="AW1453" s="568" t="b">
        <f t="shared" si="361"/>
        <v>0</v>
      </c>
      <c r="AX1453" s="30"/>
      <c r="AY1453" s="594" t="b">
        <f t="shared" si="362"/>
        <v>0</v>
      </c>
      <c r="AZ1453" s="531" t="b">
        <f>AR1453&gt;100%</f>
        <v>0</v>
      </c>
      <c r="BA1453" s="30"/>
      <c r="BB1453" s="547" t="s">
        <v>290</v>
      </c>
      <c r="BC1453" s="546" t="str">
        <f>IF(K1439=BC1449,AR1449*IF(AJ1451=EUconst_tCO2pTJ,(AR1452/1000),1)*AR1451*AR1453*(1-AR1456),"")</f>
        <v/>
      </c>
      <c r="BD1453" s="524" t="str">
        <f>IF(K1439=BD1449,AR1449*AR1451*AR1454*(1-AR1456),"")</f>
        <v/>
      </c>
      <c r="BE1453" s="523"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3" t="b">
        <f>OR(BZ1449,Y1453=EUconst_NA)</f>
        <v>1</v>
      </c>
    </row>
    <row r="1454" spans="1:78" s="142" customFormat="1" ht="12.75" hidden="1" customHeight="1" thickBot="1">
      <c r="A1454" s="808"/>
      <c r="B1454" s="166"/>
      <c r="C1454" s="814" t="s">
        <v>200</v>
      </c>
      <c r="D1454" s="512" t="str">
        <f>Translations!$B$639</f>
        <v>KonvK:</v>
      </c>
      <c r="E1454" s="513"/>
      <c r="F1454" s="548"/>
      <c r="G1454" s="1532" t="str">
        <f t="shared" si="357"/>
        <v/>
      </c>
      <c r="H1454" s="1533"/>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3"/>
      <c r="Q1454" s="33"/>
      <c r="R1454" s="33"/>
      <c r="S1454" s="30"/>
      <c r="T1454" s="552" t="str">
        <f>EUconst_CNTR_ConversionFactor&amp;E1440</f>
        <v>ConvF_</v>
      </c>
      <c r="U1454" s="497"/>
      <c r="V1454" s="553" t="str">
        <f t="shared" si="363"/>
        <v/>
      </c>
      <c r="W1454" s="30"/>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0"/>
      <c r="AC1454" s="557" t="b">
        <f>AND(AC1449,Y1454&lt;&gt;EUconst_NA)</f>
        <v>0</v>
      </c>
      <c r="AD1454" s="30"/>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0"/>
      <c r="AV1454" s="567" t="b">
        <f t="shared" si="360"/>
        <v>0</v>
      </c>
      <c r="AW1454" s="568" t="b">
        <f t="shared" si="361"/>
        <v>0</v>
      </c>
      <c r="AX1454" s="30"/>
      <c r="AY1454" s="594" t="b">
        <f t="shared" si="362"/>
        <v>0</v>
      </c>
      <c r="AZ1454" s="580" t="b">
        <f>AR1454&gt;100%</f>
        <v>0</v>
      </c>
      <c r="BA1454" s="30"/>
      <c r="BB1454" s="578" t="s">
        <v>487</v>
      </c>
      <c r="BC1454" s="579">
        <f>AR1449*AR1452/1000*(1-AR1456)</f>
        <v>0</v>
      </c>
      <c r="BD1454" s="580">
        <f>BC1454</f>
        <v>0</v>
      </c>
      <c r="BE1454" s="581">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3" t="b">
        <f>OR(BZ1449,Y1454=EUconst_NA)</f>
        <v>1</v>
      </c>
    </row>
    <row r="1455" spans="1:78" s="142" customFormat="1" ht="12.75" hidden="1" customHeight="1" thickBot="1">
      <c r="A1455" s="808"/>
      <c r="B1455" s="166"/>
      <c r="C1455" s="814" t="s">
        <v>329</v>
      </c>
      <c r="D1455" s="512" t="str">
        <f>Translations!$B$640</f>
        <v>AnglK:</v>
      </c>
      <c r="E1455" s="513"/>
      <c r="F1455" s="548"/>
      <c r="G1455" s="1532" t="str">
        <f t="shared" si="357"/>
        <v/>
      </c>
      <c r="H1455" s="1533"/>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3"/>
      <c r="Q1455" s="33"/>
      <c r="R1455" s="33"/>
      <c r="S1455" s="30"/>
      <c r="T1455" s="552" t="str">
        <f>EUconst_CNTR_CarbonContent&amp;E1440</f>
        <v>CarbC_</v>
      </c>
      <c r="U1455" s="497"/>
      <c r="V1455" s="553" t="str">
        <f t="shared" si="363"/>
        <v/>
      </c>
      <c r="W1455" s="30"/>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0"/>
      <c r="AC1455" s="557" t="b">
        <f>AND(AC1449,Y1455&lt;&gt;EUconst_NA)</f>
        <v>0</v>
      </c>
      <c r="AD1455" s="30"/>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0"/>
      <c r="AV1455" s="567" t="b">
        <f t="shared" si="360"/>
        <v>0</v>
      </c>
      <c r="AW1455" s="568" t="b">
        <f t="shared" si="361"/>
        <v>0</v>
      </c>
      <c r="AX1455" s="546" t="b">
        <f>OR(AND(AJ1449=EUconst_kNm3,AJ1455=EUconst_tCpt),AND(AJ1449=EUconst_t,AJ1455=EUconst_tCpkNm3))</f>
        <v>0</v>
      </c>
      <c r="AY1455" s="553" t="b">
        <f t="shared" si="362"/>
        <v>0</v>
      </c>
      <c r="AZ1455" s="30"/>
      <c r="BA1455" s="30"/>
      <c r="BB1455" s="578" t="s">
        <v>488</v>
      </c>
      <c r="BC1455" s="579">
        <f>AR1449*AR1452/1000*AR1456</f>
        <v>0</v>
      </c>
      <c r="BD1455" s="580">
        <f>BC1455</f>
        <v>0</v>
      </c>
      <c r="BE1455" s="581">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3" t="b">
        <f>OR(BZ1449,Y1455=EUconst_NA)</f>
        <v>1</v>
      </c>
    </row>
    <row r="1456" spans="1:78" s="142" customFormat="1" ht="12.75" hidden="1" customHeight="1">
      <c r="A1456" s="808"/>
      <c r="B1456" s="166"/>
      <c r="C1456" s="777" t="s">
        <v>330</v>
      </c>
      <c r="D1456" s="512" t="str">
        <f>Translations!$B$641</f>
        <v>BioC:</v>
      </c>
      <c r="E1456" s="513"/>
      <c r="F1456" s="548"/>
      <c r="G1456" s="1532" t="str">
        <f t="shared" si="357"/>
        <v/>
      </c>
      <c r="H1456" s="1533"/>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0"/>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0"/>
      <c r="AC1456" s="557" t="b">
        <f>AND(AC1449,Y1456&lt;&gt;EUconst_NA)</f>
        <v>0</v>
      </c>
      <c r="AD1456" s="30"/>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0"/>
      <c r="AV1456" s="567" t="b">
        <f t="shared" si="360"/>
        <v>0</v>
      </c>
      <c r="AW1456" s="568" t="b">
        <f t="shared" si="361"/>
        <v>0</v>
      </c>
      <c r="AX1456" s="30"/>
      <c r="AY1456" s="594" t="b">
        <f t="shared" si="362"/>
        <v>0</v>
      </c>
      <c r="AZ1456" s="531"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3" t="b">
        <f>OR(BZ1449,Y1456=EUconst_NA)</f>
        <v>1</v>
      </c>
    </row>
    <row r="1457" spans="1:78" s="142" customFormat="1" ht="12.75" hidden="1" customHeight="1" thickBot="1">
      <c r="A1457" s="808"/>
      <c r="B1457" s="166"/>
      <c r="C1457" s="777" t="s">
        <v>454</v>
      </c>
      <c r="D1457" s="512" t="str">
        <f>Translations!$B$647</f>
        <v>Netvar. BioC:</v>
      </c>
      <c r="E1457" s="513"/>
      <c r="F1457" s="597"/>
      <c r="G1457" s="1532" t="str">
        <f t="shared" si="357"/>
        <v/>
      </c>
      <c r="H1457" s="1533"/>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0"/>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0"/>
      <c r="AC1457" s="603" t="b">
        <f>AND(AC1449,Y1457&lt;&gt;EUconst_NA)</f>
        <v>0</v>
      </c>
      <c r="AD1457" s="30"/>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0"/>
      <c r="AV1457" s="613" t="b">
        <f t="shared" si="360"/>
        <v>0</v>
      </c>
      <c r="AW1457" s="614" t="b">
        <f t="shared" si="361"/>
        <v>0</v>
      </c>
      <c r="AX1457" s="30"/>
      <c r="AY1457" s="579" t="b">
        <f t="shared" si="362"/>
        <v>0</v>
      </c>
      <c r="AZ1457" s="580"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80" t="b">
        <f>OR(BZ1449,Y1457=EUconst_NA)</f>
        <v>1</v>
      </c>
    </row>
    <row r="1458" spans="1:78" s="142" customFormat="1" ht="4.5" hidden="1" customHeight="1">
      <c r="A1458" s="808"/>
      <c r="B1458" s="166"/>
      <c r="C1458" s="166"/>
      <c r="D1458" s="180"/>
      <c r="O1458" s="733"/>
      <c r="P1458" s="33"/>
      <c r="Q1458" s="33"/>
      <c r="R1458" s="33"/>
      <c r="S1458" s="174"/>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hidden="1" customHeight="1">
      <c r="A1459" s="808"/>
      <c r="B1459" s="166"/>
      <c r="C1459" s="166"/>
      <c r="D1459" s="1558" t="str">
        <f>Translations!$B$674</f>
        <v>Pakopos galioja nuo:</v>
      </c>
      <c r="E1459" s="1558"/>
      <c r="F1459" s="1559"/>
      <c r="G1459" s="1052"/>
      <c r="H1459" s="615" t="str">
        <f>Translations!$B$675</f>
        <v>iki:</v>
      </c>
      <c r="I1459" s="1052"/>
      <c r="J1459" s="1536" t="str">
        <f>Translations!$B$676</f>
        <v>Atliekų katalogo numeris (jeigu taikytina):</v>
      </c>
      <c r="K1459" s="1537"/>
      <c r="L1459" s="1537"/>
      <c r="M1459" s="1538"/>
      <c r="N1459" s="1289"/>
      <c r="O1459" s="733"/>
      <c r="P1459" s="33"/>
      <c r="Q1459" s="33"/>
      <c r="R1459" s="33"/>
      <c r="S1459" s="1290"/>
      <c r="T1459" s="492"/>
      <c r="U1459" s="492"/>
      <c r="V1459" s="48" t="b">
        <f>IF(V1449="",FALSE,INDEX(CNTR_IsWaste,MATCH(V1449,MSParameters!$A$218:$A$376,0)))</f>
        <v>0</v>
      </c>
      <c r="W1459" s="1290"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hidden="1" customHeight="1">
      <c r="A1460" s="808"/>
      <c r="B1460" s="166"/>
      <c r="C1460" s="166"/>
      <c r="D1460" s="615"/>
      <c r="E1460" s="495"/>
      <c r="F1460" s="495"/>
      <c r="G1460" s="495"/>
      <c r="H1460" s="495"/>
      <c r="I1460" s="495"/>
      <c r="J1460" s="495"/>
      <c r="K1460" s="495"/>
      <c r="L1460" s="495"/>
      <c r="M1460" s="495"/>
      <c r="N1460" s="495"/>
      <c r="O1460" s="733"/>
      <c r="P1460" s="33"/>
      <c r="Q1460" s="33"/>
      <c r="R1460" s="33"/>
      <c r="S1460" s="174"/>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hidden="1" customHeight="1">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3"/>
      <c r="Q1461" s="33"/>
      <c r="R1461" s="33"/>
      <c r="S1461" s="174"/>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4.5" hidden="1" customHeight="1">
      <c r="A1462" s="815"/>
      <c r="D1462" s="180"/>
      <c r="O1462" s="573"/>
      <c r="P1462" s="497"/>
      <c r="Q1462" s="497"/>
      <c r="R1462" s="497"/>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hidden="1">
      <c r="A1463" s="815"/>
      <c r="D1463" s="1534" t="str">
        <f>Translations!$B$160</f>
        <v>Pastabos:</v>
      </c>
      <c r="E1463" s="1535"/>
      <c r="F1463" s="1539"/>
      <c r="G1463" s="1540"/>
      <c r="H1463" s="1540"/>
      <c r="I1463" s="1540"/>
      <c r="J1463" s="1540"/>
      <c r="K1463" s="1540"/>
      <c r="L1463" s="1540"/>
      <c r="M1463" s="1540"/>
      <c r="N1463" s="1541"/>
      <c r="O1463" s="573"/>
      <c r="P1463" s="497"/>
      <c r="Q1463" s="497"/>
      <c r="R1463" s="497"/>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c r="A1464" s="808"/>
      <c r="B1464" s="495"/>
      <c r="C1464" s="499"/>
      <c r="D1464" s="500"/>
      <c r="E1464" s="501"/>
      <c r="F1464" s="499"/>
      <c r="G1464" s="502"/>
      <c r="H1464" s="502"/>
      <c r="I1464" s="502"/>
      <c r="J1464" s="502"/>
      <c r="K1464" s="502"/>
      <c r="L1464" s="502"/>
      <c r="M1464" s="502"/>
      <c r="N1464" s="502"/>
      <c r="O1464" s="740"/>
      <c r="P1464" s="494"/>
      <c r="Q1464" s="494"/>
      <c r="R1464" s="494"/>
      <c r="S1464" s="58"/>
      <c r="T1464" s="58"/>
      <c r="U1464" s="498"/>
      <c r="V1464" s="58"/>
      <c r="W1464" s="58"/>
      <c r="X1464" s="49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c r="A1465" s="813"/>
      <c r="B1465" s="495"/>
      <c r="C1465" s="495"/>
      <c r="D1465" s="180"/>
      <c r="E1465" s="496"/>
      <c r="F1465" s="495"/>
      <c r="G1465" s="487"/>
      <c r="H1465" s="487"/>
      <c r="I1465" s="487"/>
      <c r="J1465" s="487"/>
      <c r="K1465" s="495"/>
      <c r="L1465" s="487"/>
      <c r="M1465" s="487"/>
      <c r="N1465" s="487"/>
      <c r="O1465" s="740"/>
      <c r="P1465" s="494"/>
      <c r="Q1465" s="494"/>
      <c r="R1465" s="494"/>
      <c r="S1465" s="23"/>
      <c r="T1465" s="27" t="str">
        <f>IF(ISBLANK(E1466),"",MATCH(E1466,CNTR_SourceStreamNames,0))</f>
        <v/>
      </c>
      <c r="U1465" s="618"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1"/>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3" t="s">
        <v>262</v>
      </c>
    </row>
    <row r="1466" spans="1:78" s="142" customFormat="1" ht="15" hidden="1" customHeight="1" thickBot="1">
      <c r="A1466" s="869" t="str">
        <f>IF(E1466="","","PRINT")</f>
        <v/>
      </c>
      <c r="B1466" s="166"/>
      <c r="C1466" s="617">
        <f>C1439+1</f>
        <v>53</v>
      </c>
      <c r="D1466" s="166"/>
      <c r="E1466" s="1542"/>
      <c r="F1466" s="1543"/>
      <c r="G1466" s="1543"/>
      <c r="H1466" s="1543"/>
      <c r="I1466" s="1543"/>
      <c r="J1466" s="1544"/>
      <c r="K1466" s="1545" t="str">
        <f>IF(E1467="","",INDEX(EUwideConstants!$F$353:$F$394,MATCH(E1467,EUConst_TierActivityListNames,0)))</f>
        <v/>
      </c>
      <c r="L1466" s="1546"/>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3"/>
      <c r="T1466" s="509" t="s">
        <v>393</v>
      </c>
      <c r="U1466" s="23"/>
      <c r="V1466" s="78"/>
      <c r="W1466" s="56"/>
      <c r="X1466" s="58"/>
      <c r="Y1466" s="58"/>
      <c r="Z1466" s="58"/>
      <c r="AA1466" s="58"/>
      <c r="AB1466" s="58"/>
      <c r="AC1466" s="58"/>
      <c r="AD1466" s="58"/>
      <c r="AE1466" s="58"/>
      <c r="AF1466" s="58"/>
      <c r="AG1466" s="58"/>
      <c r="AH1466" s="58"/>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6"/>
      <c r="BZ1466" s="619" t="b">
        <f>CNTR_CalcRelevant=EUconst_NotRelevant</f>
        <v>0</v>
      </c>
    </row>
    <row r="1467" spans="1:78" s="142" customFormat="1" ht="15" hidden="1" customHeight="1" thickBot="1">
      <c r="A1467" s="808"/>
      <c r="B1467" s="166"/>
      <c r="C1467" s="166"/>
      <c r="D1467" s="166"/>
      <c r="E1467" s="1547" t="str">
        <f>IF(ISBLANK(E1466),"",IF(INDEX(B_InstallationDescription!$E$71:$E$145,MATCH(U1465,B_InstallationDescription!$D$71:$D$145,0))&gt;0,INDEX(B_InstallationDescription!$E$71:$E$145,MATCH(U1465,B_InstallationDescription!$D$71:$D$145,0)),""))</f>
        <v/>
      </c>
      <c r="F1467" s="1548"/>
      <c r="G1467" s="1548"/>
      <c r="H1467" s="1548"/>
      <c r="I1467" s="1548"/>
      <c r="J1467" s="1549"/>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4"/>
      <c r="AH1467" s="30"/>
      <c r="AI1467" s="30"/>
      <c r="AJ1467" s="504"/>
      <c r="AK1467" s="504"/>
      <c r="AL1467" s="342"/>
      <c r="AM1467" s="27" t="s">
        <v>308</v>
      </c>
      <c r="AN1467" s="505"/>
      <c r="AO1467" s="505"/>
      <c r="AP1467" s="30"/>
      <c r="AQ1467" s="30"/>
      <c r="AR1467" s="30"/>
      <c r="AS1467" s="30"/>
      <c r="AT1467" s="30"/>
      <c r="AU1467" s="30"/>
      <c r="AV1467" s="27" t="s">
        <v>315</v>
      </c>
      <c r="AW1467" s="30"/>
      <c r="AX1467" s="492"/>
      <c r="AY1467" s="30"/>
      <c r="AZ1467" s="30"/>
      <c r="BA1467" s="30"/>
      <c r="BB1467" s="27" t="s">
        <v>219</v>
      </c>
      <c r="BC1467" s="30"/>
      <c r="BD1467" s="30"/>
      <c r="BE1467" s="30"/>
      <c r="BF1467" s="30"/>
      <c r="BG1467" s="27"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0"/>
      <c r="BZ1467" s="30"/>
    </row>
    <row r="1468" spans="1:78" s="142" customFormat="1" ht="4.5" hidden="1" customHeight="1">
      <c r="A1468" s="808"/>
      <c r="B1468" s="166"/>
      <c r="C1468" s="166"/>
      <c r="D1468" s="166"/>
      <c r="E1468" s="166"/>
      <c r="F1468" s="166"/>
      <c r="G1468" s="166"/>
      <c r="M1468" s="143"/>
      <c r="N1468" s="143"/>
      <c r="O1468" s="733"/>
      <c r="P1468" s="33"/>
      <c r="Q1468" s="33"/>
      <c r="R1468" s="33"/>
      <c r="S1468" s="23"/>
      <c r="T1468" s="23"/>
      <c r="U1468" s="23"/>
      <c r="V1468" s="78"/>
      <c r="W1468" s="30"/>
      <c r="X1468" s="30"/>
      <c r="Y1468" s="494"/>
      <c r="Z1468" s="30"/>
      <c r="AA1468" s="30"/>
      <c r="AB1468" s="30"/>
      <c r="AC1468" s="30"/>
      <c r="AD1468" s="30"/>
      <c r="AE1468" s="30"/>
      <c r="AF1468" s="58"/>
      <c r="AG1468" s="30"/>
      <c r="AH1468" s="30"/>
      <c r="AI1468" s="30"/>
      <c r="AJ1468" s="504"/>
      <c r="AK1468" s="504"/>
      <c r="AL1468" s="342"/>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6" hidden="1" customHeight="1" thickBot="1">
      <c r="A1469" s="808"/>
      <c r="B1469" s="166"/>
      <c r="C1469" s="166"/>
      <c r="D1469" s="166"/>
      <c r="E1469" s="1550" t="str">
        <f>IF(E1466="","",IF(T1467=TRUE,HYPERLINK("#JUMP_14",EUconst_MsgGoOnPFC),HYPERLINK("#JUMP_E_8",EUconst_FurtherGuidancePoint1)))</f>
        <v/>
      </c>
      <c r="F1469" s="1550"/>
      <c r="G1469" s="1550"/>
      <c r="H1469" s="1550"/>
      <c r="I1469" s="1550"/>
      <c r="J1469" s="1550"/>
      <c r="K1469" s="1550"/>
      <c r="L1469" s="1550"/>
      <c r="M1469" s="1550"/>
      <c r="N1469" s="143"/>
      <c r="O1469" s="733"/>
      <c r="P1469" s="33"/>
      <c r="Q1469" s="352" t="str">
        <f>EUconst_SumNonSustBioCO2 &amp; "_" &amp; K1466</f>
        <v>SUM_bioNonSustCO2_</v>
      </c>
      <c r="R1469" s="707"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4"/>
      <c r="AK1469" s="504"/>
      <c r="AL1469" s="342"/>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4.5" hidden="1" customHeight="1">
      <c r="A1470" s="808"/>
      <c r="B1470" s="166"/>
      <c r="C1470" s="166"/>
      <c r="D1470" s="166"/>
      <c r="E1470" s="166"/>
      <c r="F1470" s="166"/>
      <c r="G1470" s="166"/>
      <c r="M1470" s="143"/>
      <c r="N1470" s="143"/>
      <c r="O1470" s="733"/>
      <c r="P1470" s="23"/>
      <c r="Q1470" s="23"/>
      <c r="R1470" s="23"/>
      <c r="S1470" s="23"/>
      <c r="T1470" s="23"/>
      <c r="U1470" s="23"/>
      <c r="V1470" s="30"/>
      <c r="W1470" s="30"/>
      <c r="X1470" s="30"/>
      <c r="Y1470" s="494"/>
      <c r="Z1470" s="30"/>
      <c r="AA1470" s="30"/>
      <c r="AB1470" s="30"/>
      <c r="AC1470" s="30"/>
      <c r="AD1470" s="30"/>
      <c r="AE1470" s="30"/>
      <c r="AF1470" s="58"/>
      <c r="AG1470" s="30"/>
      <c r="AH1470" s="30"/>
      <c r="AI1470" s="30"/>
      <c r="AJ1470" s="504"/>
      <c r="AK1470" s="504"/>
      <c r="AL1470" s="342"/>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hidden="1" customHeight="1" thickBot="1">
      <c r="A1471" s="808"/>
      <c r="B1471" s="166"/>
      <c r="C1471" s="814" t="s">
        <v>4</v>
      </c>
      <c r="D1471" s="512" t="str">
        <f>Translations!$B$622</f>
        <v>VD:</v>
      </c>
      <c r="E1471" s="1560" t="str">
        <f>Translations!$B$667</f>
        <v>Ar veiklos duomenys gaunami sudedant išmatuotus kiekius (t. y. ne atliekant nuolatinius matavimus)?</v>
      </c>
      <c r="F1471" s="1560"/>
      <c r="G1471" s="1560"/>
      <c r="H1471" s="1560"/>
      <c r="I1471" s="1560"/>
      <c r="J1471" s="1560"/>
      <c r="K1471" s="1560"/>
      <c r="L1471" s="1179"/>
      <c r="M1471" s="507"/>
      <c r="O1471" s="733"/>
      <c r="P1471" s="23"/>
      <c r="Q1471" s="23"/>
      <c r="R1471" s="23"/>
      <c r="S1471" s="23"/>
      <c r="T1471" s="23"/>
      <c r="U1471" s="23"/>
      <c r="V1471" s="30"/>
      <c r="W1471" s="30"/>
      <c r="X1471" s="30"/>
      <c r="Y1471" s="494"/>
      <c r="Z1471" s="30"/>
      <c r="AA1471" s="30"/>
      <c r="AB1471" s="30"/>
      <c r="AC1471" s="1172" t="b">
        <f>AND(E1466&lt;&gt;"",T1467&lt;&gt;TRUE)</f>
        <v>0</v>
      </c>
      <c r="AD1471" s="30"/>
      <c r="AE1471" s="30"/>
      <c r="AF1471" s="58"/>
      <c r="AG1471" s="30"/>
      <c r="AH1471" s="30"/>
      <c r="AI1471" s="30"/>
      <c r="AJ1471" s="504"/>
      <c r="AK1471" s="504"/>
      <c r="AL1471" s="342"/>
      <c r="AM1471" s="30"/>
      <c r="AN1471" s="30"/>
      <c r="AO1471" s="30"/>
      <c r="AP1471" s="30"/>
      <c r="AQ1471" s="30"/>
      <c r="AR1471" s="30"/>
      <c r="AS1471" s="30"/>
      <c r="AT1471" s="1172"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2" t="b">
        <f>OR(CNTR_CalcRelevant=EUconst_NotRelevant,AND(COUNTA(CNTR_ListRelevantSections)&gt;0,OR(T1467=TRUE,E1466="")))</f>
        <v>1</v>
      </c>
    </row>
    <row r="1472" spans="1:78" s="142" customFormat="1" ht="5.0999999999999996" hidden="1" customHeight="1">
      <c r="A1472" s="808"/>
      <c r="B1472" s="166"/>
      <c r="C1472" s="166"/>
      <c r="D1472" s="166"/>
      <c r="E1472" s="166"/>
      <c r="F1472" s="166"/>
      <c r="G1472" s="166"/>
      <c r="H1472" s="495"/>
      <c r="I1472" s="495"/>
      <c r="J1472" s="495"/>
      <c r="K1472" s="495"/>
      <c r="L1472" s="495"/>
      <c r="M1472" s="507"/>
      <c r="O1472" s="733"/>
      <c r="P1472" s="23"/>
      <c r="Q1472" s="23"/>
      <c r="R1472" s="23"/>
      <c r="S1472" s="23"/>
      <c r="T1472" s="23"/>
      <c r="U1472" s="23"/>
      <c r="V1472" s="30"/>
      <c r="W1472" s="30"/>
      <c r="X1472" s="30"/>
      <c r="Y1472" s="494"/>
      <c r="Z1472" s="30"/>
      <c r="AA1472" s="30"/>
      <c r="AB1472" s="30"/>
      <c r="AC1472" s="492"/>
      <c r="AD1472" s="30"/>
      <c r="AE1472" s="30"/>
      <c r="AF1472" s="58"/>
      <c r="AG1472" s="30"/>
      <c r="AH1472" s="30"/>
      <c r="AI1472" s="30"/>
      <c r="AJ1472" s="504"/>
      <c r="AK1472" s="504"/>
      <c r="AL1472" s="342"/>
      <c r="AM1472" s="30"/>
      <c r="AN1472" s="30"/>
      <c r="AO1472" s="30"/>
      <c r="AP1472" s="30"/>
      <c r="AQ1472" s="30"/>
      <c r="AR1472" s="30"/>
      <c r="AS1472" s="30"/>
      <c r="AT1472" s="492"/>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2"/>
    </row>
    <row r="1473" spans="1:78" s="142" customFormat="1" ht="12.75" hidden="1" customHeight="1" thickBot="1">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3"/>
      <c r="Q1473" s="23"/>
      <c r="R1473" s="23"/>
      <c r="S1473" s="23"/>
      <c r="T1473" s="23"/>
      <c r="U1473" s="23"/>
      <c r="V1473" s="30"/>
      <c r="W1473" s="30"/>
      <c r="X1473" s="30"/>
      <c r="Y1473" s="494"/>
      <c r="Z1473" s="30"/>
      <c r="AA1473" s="30"/>
      <c r="AB1473" s="30"/>
      <c r="AC1473" s="1172" t="b">
        <f>AC1471</f>
        <v>0</v>
      </c>
      <c r="AD1473" s="30"/>
      <c r="AE1473" s="30"/>
      <c r="AF1473" s="58"/>
      <c r="AG1473" s="30"/>
      <c r="AH1473" s="30"/>
      <c r="AI1473" s="30"/>
      <c r="AJ1473" s="504"/>
      <c r="AK1473" s="504"/>
      <c r="AL1473" s="342"/>
      <c r="AM1473" s="30"/>
      <c r="AN1473" s="30"/>
      <c r="AO1473" s="30"/>
      <c r="AP1473" s="30"/>
      <c r="AQ1473" s="30"/>
      <c r="AR1473" s="30"/>
      <c r="AS1473" s="30"/>
      <c r="AT1473" s="1172"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2" t="b">
        <f>OR(BZ1471,AND(NOT(ISBLANK(L1471)),L1471=FALSE))</f>
        <v>1</v>
      </c>
    </row>
    <row r="1474" spans="1:78" s="142" customFormat="1" ht="5.0999999999999996" hidden="1" customHeight="1">
      <c r="A1474" s="808"/>
      <c r="B1474" s="166"/>
      <c r="C1474" s="166"/>
      <c r="D1474" s="166"/>
      <c r="E1474" s="166"/>
      <c r="F1474" s="166"/>
      <c r="G1474" s="166"/>
      <c r="M1474" s="143"/>
      <c r="N1474" s="143"/>
      <c r="O1474" s="733"/>
      <c r="P1474" s="23"/>
      <c r="Q1474" s="23"/>
      <c r="R1474" s="23"/>
      <c r="S1474" s="23"/>
      <c r="T1474" s="23"/>
      <c r="U1474" s="23"/>
      <c r="V1474" s="30"/>
      <c r="W1474" s="30"/>
      <c r="X1474" s="30"/>
      <c r="Y1474" s="494"/>
      <c r="Z1474" s="30"/>
      <c r="AA1474" s="30"/>
      <c r="AB1474" s="30"/>
      <c r="AC1474" s="30"/>
      <c r="AD1474" s="30"/>
      <c r="AE1474" s="30"/>
      <c r="AF1474" s="58"/>
      <c r="AG1474" s="30"/>
      <c r="AH1474" s="30"/>
      <c r="AI1474" s="30"/>
      <c r="AJ1474" s="504"/>
      <c r="AK1474" s="504"/>
      <c r="AL1474" s="342"/>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hidden="1" customHeight="1" thickBot="1">
      <c r="A1475" s="808"/>
      <c r="B1475" s="166"/>
      <c r="C1475" s="166"/>
      <c r="D1475" s="166"/>
      <c r="E1475" s="166"/>
      <c r="F1475" s="506" t="str">
        <f>Translations!$B$333</f>
        <v>Pakopa</v>
      </c>
      <c r="G1475" s="1557" t="str">
        <f>Translations!$B$672</f>
        <v>pakopos aprašas</v>
      </c>
      <c r="H1475" s="1557"/>
      <c r="I1475" s="1555" t="str">
        <f>Translations!$B$158</f>
        <v>Vienetas</v>
      </c>
      <c r="J1475" s="1555"/>
      <c r="K1475" s="1555" t="str">
        <f>Translations!$B$673</f>
        <v>Vertė</v>
      </c>
      <c r="L1475" s="1555"/>
      <c r="M1475" s="507" t="str">
        <f>Translations!$B$610</f>
        <v>klaida</v>
      </c>
      <c r="O1475" s="733"/>
      <c r="P1475" s="508"/>
      <c r="Q1475" s="352" t="str">
        <f>EUconst_SumEnergyIN &amp; "_" &amp; K1466</f>
        <v>SUM_EnergyIN_</v>
      </c>
      <c r="R1475" s="399" t="str">
        <f>IF(OR(K1466="",T1467)=TRUE,"",INDEX(BC1481:BE1481,MATCH(K1466,BC1476:BE1476,0)))</f>
        <v/>
      </c>
      <c r="S1475" s="30"/>
      <c r="T1475" s="489"/>
      <c r="U1475" s="30"/>
      <c r="V1475" s="509" t="s">
        <v>303</v>
      </c>
      <c r="W1475" s="30"/>
      <c r="X1475" s="30"/>
      <c r="Y1475" s="494" t="s">
        <v>566</v>
      </c>
      <c r="Z1475" s="494" t="s">
        <v>318</v>
      </c>
      <c r="AA1475" s="30"/>
      <c r="AB1475" s="30"/>
      <c r="AC1475" s="505" t="s">
        <v>309</v>
      </c>
      <c r="AD1475" s="30"/>
      <c r="AE1475" s="30"/>
      <c r="AF1475" s="492" t="s">
        <v>305</v>
      </c>
      <c r="AG1475" s="492" t="s">
        <v>306</v>
      </c>
      <c r="AH1475" s="494" t="s">
        <v>304</v>
      </c>
      <c r="AI1475" s="504" t="s">
        <v>307</v>
      </c>
      <c r="AJ1475" s="504" t="s">
        <v>567</v>
      </c>
      <c r="AK1475" s="510" t="s">
        <v>311</v>
      </c>
      <c r="AL1475" s="342"/>
      <c r="AM1475" s="30"/>
      <c r="AN1475" s="492" t="s">
        <v>305</v>
      </c>
      <c r="AO1475" s="492" t="s">
        <v>306</v>
      </c>
      <c r="AP1475" s="511" t="s">
        <v>310</v>
      </c>
      <c r="AQ1475" s="504" t="s">
        <v>569</v>
      </c>
      <c r="AR1475" s="504" t="s">
        <v>568</v>
      </c>
      <c r="AS1475" s="510" t="s">
        <v>609</v>
      </c>
      <c r="AT1475" s="510" t="s">
        <v>609</v>
      </c>
      <c r="AU1475" s="30"/>
      <c r="AV1475" s="492"/>
      <c r="AW1475" s="492"/>
      <c r="AX1475" s="492" t="s">
        <v>321</v>
      </c>
      <c r="AY1475" s="492"/>
      <c r="AZ1475" s="492"/>
      <c r="BA1475" s="492"/>
      <c r="BB1475" s="492"/>
      <c r="BC1475" s="492"/>
      <c r="BD1475" s="492"/>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3" t="s">
        <v>262</v>
      </c>
    </row>
    <row r="1476" spans="1:78" s="142" customFormat="1" ht="12.75" hidden="1" customHeight="1" thickBot="1">
      <c r="A1476" s="808"/>
      <c r="B1476" s="166"/>
      <c r="C1476" s="777" t="s">
        <v>196</v>
      </c>
      <c r="D1476" s="512" t="str">
        <f>Translations!$B$622</f>
        <v>VD:</v>
      </c>
      <c r="E1476" s="513"/>
      <c r="F1476" s="402"/>
      <c r="G1476" s="1532" t="str">
        <f>IF(OR(ISBLANK(F1476),F1476=EUconst_NoTier),"",IF(Z1476=0,EUconst_NA,IF(ISERROR(Z1476),"",Z1476)))</f>
        <v/>
      </c>
      <c r="H1476" s="1533"/>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0"/>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0"/>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0"/>
      <c r="AV1476" s="492" t="s">
        <v>314</v>
      </c>
      <c r="AW1476" s="492" t="s">
        <v>319</v>
      </c>
      <c r="AX1476" s="524"/>
      <c r="AY1476" s="30" t="s">
        <v>542</v>
      </c>
      <c r="AZ1476" s="30"/>
      <c r="BA1476" s="30"/>
      <c r="BB1476" s="504"/>
      <c r="BC1476" s="493" t="str">
        <f>EUconst_Fuel</f>
        <v>Degimas</v>
      </c>
      <c r="BD1476" s="493" t="str">
        <f>EUconst_ProcessCarbonate</f>
        <v>Proceso metu išsiskiriančios ŠESD</v>
      </c>
      <c r="BE1476" s="493"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4" t="b">
        <f>BZ1471</f>
        <v>1</v>
      </c>
    </row>
    <row r="1477" spans="1:78" s="142" customFormat="1" ht="4.5" hidden="1" customHeight="1">
      <c r="A1477" s="808"/>
      <c r="B1477" s="166"/>
      <c r="C1477" s="814"/>
      <c r="D1477" s="306"/>
      <c r="F1477" s="143"/>
      <c r="G1477" s="143"/>
      <c r="H1477" s="143" t="s">
        <v>236</v>
      </c>
      <c r="I1477" s="525"/>
      <c r="J1477" s="525"/>
      <c r="K1477" s="143"/>
      <c r="L1477" s="143"/>
      <c r="M1477" s="710"/>
      <c r="O1477" s="733"/>
      <c r="P1477" s="33"/>
      <c r="Q1477" s="33"/>
      <c r="R1477" s="33"/>
      <c r="S1477" s="30"/>
      <c r="T1477" s="155"/>
      <c r="U1477" s="497"/>
      <c r="V1477" s="30"/>
      <c r="W1477" s="30"/>
      <c r="X1477" s="497"/>
      <c r="Y1477" s="526"/>
      <c r="Z1477" s="30"/>
      <c r="AA1477" s="30"/>
      <c r="AB1477" s="30"/>
      <c r="AC1477" s="30"/>
      <c r="AD1477" s="30"/>
      <c r="AE1477" s="30"/>
      <c r="AF1477" s="30"/>
      <c r="AG1477" s="30"/>
      <c r="AH1477" s="30"/>
      <c r="AI1477" s="30"/>
      <c r="AJ1477" s="30"/>
      <c r="AK1477" s="30"/>
      <c r="AL1477" s="342"/>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3"/>
    </row>
    <row r="1478" spans="1:78" s="142" customFormat="1" ht="12.75" hidden="1" customHeight="1" thickBot="1">
      <c r="A1478" s="808"/>
      <c r="B1478" s="166"/>
      <c r="C1478" s="814" t="s">
        <v>197</v>
      </c>
      <c r="D1478" s="512" t="str">
        <f>Translations!$B$634</f>
        <v>(prelim.) ITF:</v>
      </c>
      <c r="E1478" s="513"/>
      <c r="F1478" s="527"/>
      <c r="G1478" s="1532" t="str">
        <f t="shared" ref="G1478:G1484" si="364">IF(OR(ISBLANK(F1478),F1478=EUconst_NoTier),"",IF(Z1478=0,EUconst_NotApplicable,IF(ISERROR(Z1478),"",Z1478)))</f>
        <v/>
      </c>
      <c r="H1478" s="1556"/>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3"/>
      <c r="Q1478" s="33"/>
      <c r="R1478" s="33"/>
      <c r="S1478" s="30"/>
      <c r="T1478" s="530" t="str">
        <f>EUconst_CNTR_EF&amp;E1467</f>
        <v>EF_</v>
      </c>
      <c r="U1478" s="497"/>
      <c r="V1478" s="531" t="str">
        <f>V1476</f>
        <v/>
      </c>
      <c r="W1478" s="30"/>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0"/>
      <c r="AC1478" s="535" t="b">
        <f>AND(AC1476,Y1478&lt;&gt;EUconst_NA)</f>
        <v>0</v>
      </c>
      <c r="AD1478" s="30"/>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0"/>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0"/>
      <c r="BA1478" s="30"/>
      <c r="BB1478" s="547" t="s">
        <v>594</v>
      </c>
      <c r="BC1478" s="546" t="str">
        <f>IF(K1466=BC1476,AR1476*IF(AJ1478=EUconst_tCO2pTJ,(AR1479/1000),1)*AR1478*AR1480*AR1484,"")</f>
        <v/>
      </c>
      <c r="BD1478" s="524" t="str">
        <f>IF(K1466=BD1476,AR1476*AR1478*AR1481*AR1484,"")</f>
        <v/>
      </c>
      <c r="BE1478" s="523"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1" t="b">
        <f>OR(BZ1476,Y1478=EUconst_NA)</f>
        <v>1</v>
      </c>
    </row>
    <row r="1479" spans="1:78" s="142" customFormat="1" ht="12.75" hidden="1" customHeight="1" thickBot="1">
      <c r="A1479" s="808"/>
      <c r="B1479" s="166"/>
      <c r="C1479" s="814" t="s">
        <v>198</v>
      </c>
      <c r="D1479" s="512" t="str">
        <f>Translations!$B$636</f>
        <v>GŠV:</v>
      </c>
      <c r="E1479" s="513"/>
      <c r="F1479" s="548"/>
      <c r="G1479" s="1532" t="str">
        <f t="shared" si="364"/>
        <v/>
      </c>
      <c r="H1479" s="1533"/>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3"/>
      <c r="Q1479" s="33"/>
      <c r="R1479" s="33"/>
      <c r="S1479" s="30"/>
      <c r="T1479" s="552" t="str">
        <f>EUconst_CNTR_NCV&amp;E1467</f>
        <v>NCV_</v>
      </c>
      <c r="U1479" s="497"/>
      <c r="V1479" s="553" t="str">
        <f t="shared" ref="V1479:V1484" si="370">V1478</f>
        <v/>
      </c>
      <c r="W1479" s="30"/>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0"/>
      <c r="AC1479" s="557" t="b">
        <f>AND(AC1476,Y1479&lt;&gt;EUconst_NA)</f>
        <v>0</v>
      </c>
      <c r="AD1479" s="30"/>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0"/>
      <c r="AV1479" s="567" t="b">
        <f t="shared" si="367"/>
        <v>0</v>
      </c>
      <c r="AW1479" s="568" t="b">
        <f t="shared" si="368"/>
        <v>0</v>
      </c>
      <c r="AX1479" s="30"/>
      <c r="AY1479" s="553" t="b">
        <f t="shared" si="369"/>
        <v>0</v>
      </c>
      <c r="AZ1479" s="30"/>
      <c r="BA1479" s="30"/>
      <c r="BB1479" s="547" t="s">
        <v>595</v>
      </c>
      <c r="BC1479" s="546" t="str">
        <f>IF(K1466=BC1476,AR1476*IF(AJ1478=EUconst_tCO2pTJ,(AR1479/1000),1)*AR1478*AR1480*AR1483,"")</f>
        <v/>
      </c>
      <c r="BD1479" s="524" t="str">
        <f>IF(K1466=BD1476,AR1476*AR1478*AR1481*AR1483,"")</f>
        <v/>
      </c>
      <c r="BE1479" s="523"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3" t="b">
        <f>OR(BZ1476,Y1479=EUconst_NA)</f>
        <v>1</v>
      </c>
    </row>
    <row r="1480" spans="1:78" s="142" customFormat="1" ht="12.75" hidden="1" customHeight="1" thickBot="1">
      <c r="A1480" s="808"/>
      <c r="B1480" s="166"/>
      <c r="C1480" s="814" t="s">
        <v>199</v>
      </c>
      <c r="D1480" s="512" t="str">
        <f>Translations!$B$638</f>
        <v>OksK:</v>
      </c>
      <c r="E1480" s="513"/>
      <c r="F1480" s="548"/>
      <c r="G1480" s="1532" t="str">
        <f t="shared" si="364"/>
        <v/>
      </c>
      <c r="H1480" s="1533"/>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3"/>
      <c r="Q1480" s="33"/>
      <c r="R1480" s="33"/>
      <c r="S1480" s="30"/>
      <c r="T1480" s="552" t="str">
        <f>EUconst_CNTR_OxidationFactor&amp;E1467</f>
        <v>OxF_</v>
      </c>
      <c r="U1480" s="497"/>
      <c r="V1480" s="553" t="str">
        <f t="shared" si="370"/>
        <v/>
      </c>
      <c r="W1480" s="30"/>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0"/>
      <c r="AC1480" s="557" t="b">
        <f>AND(AC1476,Y1480&lt;&gt;EUconst_NA)</f>
        <v>0</v>
      </c>
      <c r="AD1480" s="30"/>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0"/>
      <c r="AV1480" s="567" t="b">
        <f t="shared" si="367"/>
        <v>0</v>
      </c>
      <c r="AW1480" s="568" t="b">
        <f t="shared" si="368"/>
        <v>0</v>
      </c>
      <c r="AX1480" s="30"/>
      <c r="AY1480" s="594" t="b">
        <f t="shared" si="369"/>
        <v>0</v>
      </c>
      <c r="AZ1480" s="531" t="b">
        <f>AR1480&gt;100%</f>
        <v>0</v>
      </c>
      <c r="BA1480" s="30"/>
      <c r="BB1480" s="547" t="s">
        <v>290</v>
      </c>
      <c r="BC1480" s="546" t="str">
        <f>IF(K1466=BC1476,AR1476*IF(AJ1478=EUconst_tCO2pTJ,(AR1479/1000),1)*AR1478*AR1480*(1-AR1483),"")</f>
        <v/>
      </c>
      <c r="BD1480" s="524" t="str">
        <f>IF(K1466=BD1476,AR1476*AR1478*AR1481*(1-AR1483),"")</f>
        <v/>
      </c>
      <c r="BE1480" s="523"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3" t="b">
        <f>OR(BZ1476,Y1480=EUconst_NA)</f>
        <v>1</v>
      </c>
    </row>
    <row r="1481" spans="1:78" s="142" customFormat="1" ht="12.75" hidden="1" customHeight="1" thickBot="1">
      <c r="A1481" s="808"/>
      <c r="B1481" s="166"/>
      <c r="C1481" s="814" t="s">
        <v>200</v>
      </c>
      <c r="D1481" s="512" t="str">
        <f>Translations!$B$639</f>
        <v>KonvK:</v>
      </c>
      <c r="E1481" s="513"/>
      <c r="F1481" s="548"/>
      <c r="G1481" s="1532" t="str">
        <f t="shared" si="364"/>
        <v/>
      </c>
      <c r="H1481" s="1533"/>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3"/>
      <c r="Q1481" s="33"/>
      <c r="R1481" s="33"/>
      <c r="S1481" s="30"/>
      <c r="T1481" s="552" t="str">
        <f>EUconst_CNTR_ConversionFactor&amp;E1467</f>
        <v>ConvF_</v>
      </c>
      <c r="U1481" s="497"/>
      <c r="V1481" s="553" t="str">
        <f t="shared" si="370"/>
        <v/>
      </c>
      <c r="W1481" s="30"/>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0"/>
      <c r="AC1481" s="557" t="b">
        <f>AND(AC1476,Y1481&lt;&gt;EUconst_NA)</f>
        <v>0</v>
      </c>
      <c r="AD1481" s="30"/>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0"/>
      <c r="AV1481" s="567" t="b">
        <f t="shared" si="367"/>
        <v>0</v>
      </c>
      <c r="AW1481" s="568" t="b">
        <f t="shared" si="368"/>
        <v>0</v>
      </c>
      <c r="AX1481" s="30"/>
      <c r="AY1481" s="594" t="b">
        <f t="shared" si="369"/>
        <v>0</v>
      </c>
      <c r="AZ1481" s="580" t="b">
        <f>AR1481&gt;100%</f>
        <v>0</v>
      </c>
      <c r="BA1481" s="30"/>
      <c r="BB1481" s="578" t="s">
        <v>487</v>
      </c>
      <c r="BC1481" s="579">
        <f>AR1476*AR1479/1000*(1-AR1483)</f>
        <v>0</v>
      </c>
      <c r="BD1481" s="580">
        <f>BC1481</f>
        <v>0</v>
      </c>
      <c r="BE1481" s="581">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3" t="b">
        <f>OR(BZ1476,Y1481=EUconst_NA)</f>
        <v>1</v>
      </c>
    </row>
    <row r="1482" spans="1:78" s="142" customFormat="1" ht="12.75" hidden="1" customHeight="1" thickBot="1">
      <c r="A1482" s="808"/>
      <c r="B1482" s="166"/>
      <c r="C1482" s="814" t="s">
        <v>329</v>
      </c>
      <c r="D1482" s="512" t="str">
        <f>Translations!$B$640</f>
        <v>AnglK:</v>
      </c>
      <c r="E1482" s="513"/>
      <c r="F1482" s="548"/>
      <c r="G1482" s="1532" t="str">
        <f t="shared" si="364"/>
        <v/>
      </c>
      <c r="H1482" s="1533"/>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3"/>
      <c r="Q1482" s="33"/>
      <c r="R1482" s="33"/>
      <c r="S1482" s="30"/>
      <c r="T1482" s="552" t="str">
        <f>EUconst_CNTR_CarbonContent&amp;E1467</f>
        <v>CarbC_</v>
      </c>
      <c r="U1482" s="497"/>
      <c r="V1482" s="553" t="str">
        <f t="shared" si="370"/>
        <v/>
      </c>
      <c r="W1482" s="30"/>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0"/>
      <c r="AC1482" s="557" t="b">
        <f>AND(AC1476,Y1482&lt;&gt;EUconst_NA)</f>
        <v>0</v>
      </c>
      <c r="AD1482" s="30"/>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0"/>
      <c r="AV1482" s="567" t="b">
        <f t="shared" si="367"/>
        <v>0</v>
      </c>
      <c r="AW1482" s="568" t="b">
        <f t="shared" si="368"/>
        <v>0</v>
      </c>
      <c r="AX1482" s="546" t="b">
        <f>OR(AND(AJ1476=EUconst_kNm3,AJ1482=EUconst_tCpt),AND(AJ1476=EUconst_t,AJ1482=EUconst_tCpkNm3))</f>
        <v>0</v>
      </c>
      <c r="AY1482" s="553" t="b">
        <f t="shared" si="369"/>
        <v>0</v>
      </c>
      <c r="AZ1482" s="30"/>
      <c r="BA1482" s="30"/>
      <c r="BB1482" s="578" t="s">
        <v>488</v>
      </c>
      <c r="BC1482" s="579">
        <f>AR1476*AR1479/1000*AR1483</f>
        <v>0</v>
      </c>
      <c r="BD1482" s="580">
        <f>BC1482</f>
        <v>0</v>
      </c>
      <c r="BE1482" s="581">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3" t="b">
        <f>OR(BZ1476,Y1482=EUconst_NA)</f>
        <v>1</v>
      </c>
    </row>
    <row r="1483" spans="1:78" s="142" customFormat="1" ht="12.75" hidden="1" customHeight="1">
      <c r="A1483" s="808"/>
      <c r="B1483" s="166"/>
      <c r="C1483" s="777" t="s">
        <v>330</v>
      </c>
      <c r="D1483" s="512" t="str">
        <f>Translations!$B$641</f>
        <v>BioC:</v>
      </c>
      <c r="E1483" s="513"/>
      <c r="F1483" s="548"/>
      <c r="G1483" s="1532" t="str">
        <f t="shared" si="364"/>
        <v/>
      </c>
      <c r="H1483" s="1533"/>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0"/>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0"/>
      <c r="AC1483" s="557" t="b">
        <f>AND(AC1476,Y1483&lt;&gt;EUconst_NA)</f>
        <v>0</v>
      </c>
      <c r="AD1483" s="30"/>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0"/>
      <c r="AV1483" s="567" t="b">
        <f t="shared" si="367"/>
        <v>0</v>
      </c>
      <c r="AW1483" s="568" t="b">
        <f t="shared" si="368"/>
        <v>0</v>
      </c>
      <c r="AX1483" s="30"/>
      <c r="AY1483" s="594" t="b">
        <f t="shared" si="369"/>
        <v>0</v>
      </c>
      <c r="AZ1483" s="531"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3" t="b">
        <f>OR(BZ1476,Y1483=EUconst_NA)</f>
        <v>1</v>
      </c>
    </row>
    <row r="1484" spans="1:78" s="142" customFormat="1" ht="6" hidden="1" customHeight="1" thickBot="1">
      <c r="A1484" s="808"/>
      <c r="B1484" s="166"/>
      <c r="C1484" s="777" t="s">
        <v>454</v>
      </c>
      <c r="D1484" s="512" t="str">
        <f>Translations!$B$647</f>
        <v>Netvar. BioC:</v>
      </c>
      <c r="E1484" s="513"/>
      <c r="F1484" s="597"/>
      <c r="G1484" s="1532" t="str">
        <f t="shared" si="364"/>
        <v/>
      </c>
      <c r="H1484" s="1533"/>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0"/>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0"/>
      <c r="AC1484" s="603" t="b">
        <f>AND(AC1476,Y1484&lt;&gt;EUconst_NA)</f>
        <v>0</v>
      </c>
      <c r="AD1484" s="30"/>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0"/>
      <c r="AV1484" s="613" t="b">
        <f t="shared" si="367"/>
        <v>0</v>
      </c>
      <c r="AW1484" s="614" t="b">
        <f t="shared" si="368"/>
        <v>0</v>
      </c>
      <c r="AX1484" s="30"/>
      <c r="AY1484" s="579" t="b">
        <f t="shared" si="369"/>
        <v>0</v>
      </c>
      <c r="AZ1484" s="580"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80" t="b">
        <f>OR(BZ1476,Y1484=EUconst_NA)</f>
        <v>1</v>
      </c>
    </row>
    <row r="1485" spans="1:78" s="142" customFormat="1" ht="4.5" hidden="1" customHeight="1">
      <c r="A1485" s="808"/>
      <c r="B1485" s="166"/>
      <c r="C1485" s="166"/>
      <c r="D1485" s="180"/>
      <c r="O1485" s="733"/>
      <c r="P1485" s="33"/>
      <c r="Q1485" s="33"/>
      <c r="R1485" s="33"/>
      <c r="S1485" s="174"/>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hidden="1" customHeight="1">
      <c r="A1486" s="808"/>
      <c r="B1486" s="166"/>
      <c r="C1486" s="166"/>
      <c r="D1486" s="1558" t="str">
        <f>Translations!$B$674</f>
        <v>Pakopos galioja nuo:</v>
      </c>
      <c r="E1486" s="1558"/>
      <c r="F1486" s="1559"/>
      <c r="G1486" s="1052"/>
      <c r="H1486" s="615" t="str">
        <f>Translations!$B$675</f>
        <v>iki:</v>
      </c>
      <c r="I1486" s="1052"/>
      <c r="J1486" s="1536" t="str">
        <f>Translations!$B$676</f>
        <v>Atliekų katalogo numeris (jeigu taikytina):</v>
      </c>
      <c r="K1486" s="1537"/>
      <c r="L1486" s="1537"/>
      <c r="M1486" s="1538"/>
      <c r="N1486" s="1289"/>
      <c r="O1486" s="733"/>
      <c r="P1486" s="33"/>
      <c r="Q1486" s="33"/>
      <c r="R1486" s="33"/>
      <c r="S1486" s="1290"/>
      <c r="T1486" s="492"/>
      <c r="U1486" s="492"/>
      <c r="V1486" s="48" t="b">
        <f>IF(V1476="",FALSE,INDEX(CNTR_IsWaste,MATCH(V1476,MSParameters!$A$218:$A$376,0)))</f>
        <v>0</v>
      </c>
      <c r="W1486" s="1290"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4.5" hidden="1" customHeight="1">
      <c r="A1487" s="808"/>
      <c r="B1487" s="166"/>
      <c r="C1487" s="166"/>
      <c r="D1487" s="615"/>
      <c r="E1487" s="495"/>
      <c r="F1487" s="495"/>
      <c r="G1487" s="495"/>
      <c r="H1487" s="495"/>
      <c r="I1487" s="495"/>
      <c r="J1487" s="495"/>
      <c r="K1487" s="495"/>
      <c r="L1487" s="495"/>
      <c r="M1487" s="495"/>
      <c r="N1487" s="495"/>
      <c r="O1487" s="733"/>
      <c r="P1487" s="33"/>
      <c r="Q1487" s="33"/>
      <c r="R1487" s="33"/>
      <c r="S1487" s="174"/>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hidden="1" customHeight="1">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3"/>
      <c r="Q1488" s="33"/>
      <c r="R1488" s="33"/>
      <c r="S1488" s="174"/>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hidden="1" customHeight="1">
      <c r="A1489" s="815"/>
      <c r="D1489" s="180"/>
      <c r="O1489" s="573"/>
      <c r="P1489" s="497"/>
      <c r="Q1489" s="497"/>
      <c r="R1489" s="497"/>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hidden="1">
      <c r="A1490" s="815"/>
      <c r="D1490" s="1534" t="str">
        <f>Translations!$B$160</f>
        <v>Pastabos:</v>
      </c>
      <c r="E1490" s="1535"/>
      <c r="F1490" s="1539"/>
      <c r="G1490" s="1540"/>
      <c r="H1490" s="1540"/>
      <c r="I1490" s="1540"/>
      <c r="J1490" s="1540"/>
      <c r="K1490" s="1540"/>
      <c r="L1490" s="1540"/>
      <c r="M1490" s="1540"/>
      <c r="N1490" s="1541"/>
      <c r="O1490" s="573"/>
      <c r="P1490" s="497"/>
      <c r="Q1490" s="497"/>
      <c r="R1490" s="497"/>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c r="A1491" s="808"/>
      <c r="B1491" s="495"/>
      <c r="C1491" s="499"/>
      <c r="D1491" s="500"/>
      <c r="E1491" s="501"/>
      <c r="F1491" s="499"/>
      <c r="G1491" s="502"/>
      <c r="H1491" s="502"/>
      <c r="I1491" s="502"/>
      <c r="J1491" s="502"/>
      <c r="K1491" s="502"/>
      <c r="L1491" s="502"/>
      <c r="M1491" s="502"/>
      <c r="N1491" s="502"/>
      <c r="O1491" s="740"/>
      <c r="P1491" s="494"/>
      <c r="Q1491" s="494"/>
      <c r="R1491" s="494"/>
      <c r="S1491" s="58"/>
      <c r="T1491" s="58"/>
      <c r="U1491" s="498"/>
      <c r="V1491" s="58"/>
      <c r="W1491" s="58"/>
      <c r="X1491" s="498"/>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c r="A1492" s="813"/>
      <c r="B1492" s="495"/>
      <c r="C1492" s="495"/>
      <c r="D1492" s="180"/>
      <c r="E1492" s="496"/>
      <c r="F1492" s="495"/>
      <c r="G1492" s="487"/>
      <c r="H1492" s="487"/>
      <c r="I1492" s="487"/>
      <c r="J1492" s="487"/>
      <c r="K1492" s="495"/>
      <c r="L1492" s="487"/>
      <c r="M1492" s="487"/>
      <c r="N1492" s="487"/>
      <c r="O1492" s="740"/>
      <c r="P1492" s="494"/>
      <c r="Q1492" s="494"/>
      <c r="R1492" s="494"/>
      <c r="S1492" s="23"/>
      <c r="T1492" s="27" t="str">
        <f>IF(ISBLANK(E1493),"",MATCH(E1493,CNTR_SourceStreamNames,0))</f>
        <v/>
      </c>
      <c r="U1492" s="618"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1"/>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3" t="s">
        <v>262</v>
      </c>
    </row>
    <row r="1493" spans="1:78" s="142" customFormat="1" ht="15" hidden="1" customHeight="1" thickBot="1">
      <c r="A1493" s="869" t="str">
        <f>IF(E1493="","","PRINT")</f>
        <v/>
      </c>
      <c r="B1493" s="166"/>
      <c r="C1493" s="617">
        <f>C1466+1</f>
        <v>54</v>
      </c>
      <c r="D1493" s="166"/>
      <c r="E1493" s="1542"/>
      <c r="F1493" s="1543"/>
      <c r="G1493" s="1543"/>
      <c r="H1493" s="1543"/>
      <c r="I1493" s="1543"/>
      <c r="J1493" s="1544"/>
      <c r="K1493" s="1545" t="str">
        <f>IF(E1494="","",INDEX(EUwideConstants!$F$353:$F$394,MATCH(E1494,EUConst_TierActivityListNames,0)))</f>
        <v/>
      </c>
      <c r="L1493" s="1546"/>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3"/>
      <c r="T1493" s="509" t="s">
        <v>393</v>
      </c>
      <c r="U1493" s="23"/>
      <c r="V1493" s="78"/>
      <c r="W1493" s="56"/>
      <c r="X1493" s="58"/>
      <c r="Y1493" s="58"/>
      <c r="Z1493" s="58"/>
      <c r="AA1493" s="58"/>
      <c r="AB1493" s="58"/>
      <c r="AC1493" s="58"/>
      <c r="AD1493" s="58"/>
      <c r="AE1493" s="58"/>
      <c r="AF1493" s="58"/>
      <c r="AG1493" s="58"/>
      <c r="AH1493" s="58"/>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6"/>
      <c r="BZ1493" s="619" t="b">
        <f>CNTR_CalcRelevant=EUconst_NotRelevant</f>
        <v>0</v>
      </c>
    </row>
    <row r="1494" spans="1:78" s="142" customFormat="1" ht="15" hidden="1" customHeight="1" thickBot="1">
      <c r="A1494" s="808"/>
      <c r="B1494" s="166"/>
      <c r="C1494" s="166"/>
      <c r="D1494" s="166"/>
      <c r="E1494" s="1547" t="str">
        <f>IF(ISBLANK(E1493),"",IF(INDEX(B_InstallationDescription!$E$71:$E$145,MATCH(U1492,B_InstallationDescription!$D$71:$D$145,0))&gt;0,INDEX(B_InstallationDescription!$E$71:$E$145,MATCH(U1492,B_InstallationDescription!$D$71:$D$145,0)),""))</f>
        <v/>
      </c>
      <c r="F1494" s="1548"/>
      <c r="G1494" s="1548"/>
      <c r="H1494" s="1548"/>
      <c r="I1494" s="1548"/>
      <c r="J1494" s="1549"/>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4"/>
      <c r="AH1494" s="30"/>
      <c r="AI1494" s="30"/>
      <c r="AJ1494" s="504"/>
      <c r="AK1494" s="504"/>
      <c r="AL1494" s="342"/>
      <c r="AM1494" s="27" t="s">
        <v>308</v>
      </c>
      <c r="AN1494" s="505"/>
      <c r="AO1494" s="505"/>
      <c r="AP1494" s="30"/>
      <c r="AQ1494" s="30"/>
      <c r="AR1494" s="30"/>
      <c r="AS1494" s="30"/>
      <c r="AT1494" s="30"/>
      <c r="AU1494" s="30"/>
      <c r="AV1494" s="27" t="s">
        <v>315</v>
      </c>
      <c r="AW1494" s="30"/>
      <c r="AX1494" s="492"/>
      <c r="AY1494" s="30"/>
      <c r="AZ1494" s="30"/>
      <c r="BA1494" s="30"/>
      <c r="BB1494" s="27" t="s">
        <v>219</v>
      </c>
      <c r="BC1494" s="30"/>
      <c r="BD1494" s="30"/>
      <c r="BE1494" s="30"/>
      <c r="BF1494" s="30"/>
      <c r="BG1494" s="27"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0"/>
      <c r="BZ1494" s="30"/>
    </row>
    <row r="1495" spans="1:78" s="142" customFormat="1" ht="4.5" hidden="1" customHeight="1">
      <c r="A1495" s="808"/>
      <c r="B1495" s="166"/>
      <c r="C1495" s="166"/>
      <c r="D1495" s="166"/>
      <c r="E1495" s="166"/>
      <c r="F1495" s="166"/>
      <c r="G1495" s="166"/>
      <c r="M1495" s="143"/>
      <c r="N1495" s="143"/>
      <c r="O1495" s="733"/>
      <c r="P1495" s="33"/>
      <c r="Q1495" s="33"/>
      <c r="R1495" s="33"/>
      <c r="S1495" s="23"/>
      <c r="T1495" s="23"/>
      <c r="U1495" s="23"/>
      <c r="V1495" s="78"/>
      <c r="W1495" s="30"/>
      <c r="X1495" s="30"/>
      <c r="Y1495" s="494"/>
      <c r="Z1495" s="30"/>
      <c r="AA1495" s="30"/>
      <c r="AB1495" s="30"/>
      <c r="AC1495" s="30"/>
      <c r="AD1495" s="30"/>
      <c r="AE1495" s="30"/>
      <c r="AF1495" s="58"/>
      <c r="AG1495" s="30"/>
      <c r="AH1495" s="30"/>
      <c r="AI1495" s="30"/>
      <c r="AJ1495" s="504"/>
      <c r="AK1495" s="504"/>
      <c r="AL1495" s="342"/>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hidden="1" customHeight="1" thickBot="1">
      <c r="A1496" s="808"/>
      <c r="B1496" s="166"/>
      <c r="C1496" s="166"/>
      <c r="D1496" s="166"/>
      <c r="E1496" s="1550" t="str">
        <f>IF(E1493="","",IF(T1494=TRUE,HYPERLINK("#JUMP_14",EUconst_MsgGoOnPFC),HYPERLINK("#JUMP_E_8",EUconst_FurtherGuidancePoint1)))</f>
        <v/>
      </c>
      <c r="F1496" s="1550"/>
      <c r="G1496" s="1550"/>
      <c r="H1496" s="1550"/>
      <c r="I1496" s="1550"/>
      <c r="J1496" s="1550"/>
      <c r="K1496" s="1550"/>
      <c r="L1496" s="1550"/>
      <c r="M1496" s="1550"/>
      <c r="N1496" s="143"/>
      <c r="O1496" s="733"/>
      <c r="P1496" s="33"/>
      <c r="Q1496" s="352" t="str">
        <f>EUconst_SumNonSustBioCO2 &amp; "_" &amp; K1493</f>
        <v>SUM_bioNonSustCO2_</v>
      </c>
      <c r="R1496" s="707"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4"/>
      <c r="AK1496" s="504"/>
      <c r="AL1496" s="342"/>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4.5" hidden="1" customHeight="1">
      <c r="A1497" s="808"/>
      <c r="B1497" s="166"/>
      <c r="C1497" s="166"/>
      <c r="D1497" s="166"/>
      <c r="E1497" s="166"/>
      <c r="F1497" s="166"/>
      <c r="G1497" s="166"/>
      <c r="M1497" s="143"/>
      <c r="N1497" s="143"/>
      <c r="O1497" s="733"/>
      <c r="P1497" s="23"/>
      <c r="Q1497" s="23"/>
      <c r="R1497" s="23"/>
      <c r="S1497" s="23"/>
      <c r="T1497" s="23"/>
      <c r="U1497" s="23"/>
      <c r="V1497" s="30"/>
      <c r="W1497" s="30"/>
      <c r="X1497" s="30"/>
      <c r="Y1497" s="494"/>
      <c r="Z1497" s="30"/>
      <c r="AA1497" s="30"/>
      <c r="AB1497" s="30"/>
      <c r="AC1497" s="30"/>
      <c r="AD1497" s="30"/>
      <c r="AE1497" s="30"/>
      <c r="AF1497" s="58"/>
      <c r="AG1497" s="30"/>
      <c r="AH1497" s="30"/>
      <c r="AI1497" s="30"/>
      <c r="AJ1497" s="504"/>
      <c r="AK1497" s="504"/>
      <c r="AL1497" s="342"/>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hidden="1" customHeight="1" thickBot="1">
      <c r="A1498" s="808"/>
      <c r="B1498" s="166"/>
      <c r="C1498" s="814" t="s">
        <v>4</v>
      </c>
      <c r="D1498" s="512" t="str">
        <f>Translations!$B$622</f>
        <v>VD:</v>
      </c>
      <c r="E1498" s="1560" t="str">
        <f>Translations!$B$667</f>
        <v>Ar veiklos duomenys gaunami sudedant išmatuotus kiekius (t. y. ne atliekant nuolatinius matavimus)?</v>
      </c>
      <c r="F1498" s="1560"/>
      <c r="G1498" s="1560"/>
      <c r="H1498" s="1560"/>
      <c r="I1498" s="1560"/>
      <c r="J1498" s="1560"/>
      <c r="K1498" s="1560"/>
      <c r="L1498" s="1179"/>
      <c r="M1498" s="507"/>
      <c r="O1498" s="733"/>
      <c r="P1498" s="23"/>
      <c r="Q1498" s="23"/>
      <c r="R1498" s="23"/>
      <c r="S1498" s="23"/>
      <c r="T1498" s="23"/>
      <c r="U1498" s="23"/>
      <c r="V1498" s="30"/>
      <c r="W1498" s="30"/>
      <c r="X1498" s="30"/>
      <c r="Y1498" s="494"/>
      <c r="Z1498" s="30"/>
      <c r="AA1498" s="30"/>
      <c r="AB1498" s="30"/>
      <c r="AC1498" s="1172" t="b">
        <f>AND(E1493&lt;&gt;"",T1494&lt;&gt;TRUE)</f>
        <v>0</v>
      </c>
      <c r="AD1498" s="30"/>
      <c r="AE1498" s="30"/>
      <c r="AF1498" s="58"/>
      <c r="AG1498" s="30"/>
      <c r="AH1498" s="30"/>
      <c r="AI1498" s="30"/>
      <c r="AJ1498" s="504"/>
      <c r="AK1498" s="504"/>
      <c r="AL1498" s="342"/>
      <c r="AM1498" s="30"/>
      <c r="AN1498" s="30"/>
      <c r="AO1498" s="30"/>
      <c r="AP1498" s="30"/>
      <c r="AQ1498" s="30"/>
      <c r="AR1498" s="30"/>
      <c r="AS1498" s="30"/>
      <c r="AT1498" s="1172"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2" t="b">
        <f>OR(CNTR_CalcRelevant=EUconst_NotRelevant,AND(COUNTA(CNTR_ListRelevantSections)&gt;0,OR(T1494=TRUE,E1493="")))</f>
        <v>1</v>
      </c>
    </row>
    <row r="1499" spans="1:78" s="142" customFormat="1" ht="5.0999999999999996" hidden="1" customHeight="1">
      <c r="A1499" s="808"/>
      <c r="B1499" s="166"/>
      <c r="C1499" s="166"/>
      <c r="D1499" s="166"/>
      <c r="E1499" s="166"/>
      <c r="F1499" s="166"/>
      <c r="G1499" s="166"/>
      <c r="H1499" s="495"/>
      <c r="I1499" s="495"/>
      <c r="J1499" s="495"/>
      <c r="K1499" s="495"/>
      <c r="L1499" s="495"/>
      <c r="M1499" s="507"/>
      <c r="O1499" s="733"/>
      <c r="P1499" s="23"/>
      <c r="Q1499" s="23"/>
      <c r="R1499" s="23"/>
      <c r="S1499" s="23"/>
      <c r="T1499" s="23"/>
      <c r="U1499" s="23"/>
      <c r="V1499" s="30"/>
      <c r="W1499" s="30"/>
      <c r="X1499" s="30"/>
      <c r="Y1499" s="494"/>
      <c r="Z1499" s="30"/>
      <c r="AA1499" s="30"/>
      <c r="AB1499" s="30"/>
      <c r="AC1499" s="492"/>
      <c r="AD1499" s="30"/>
      <c r="AE1499" s="30"/>
      <c r="AF1499" s="58"/>
      <c r="AG1499" s="30"/>
      <c r="AH1499" s="30"/>
      <c r="AI1499" s="30"/>
      <c r="AJ1499" s="504"/>
      <c r="AK1499" s="504"/>
      <c r="AL1499" s="342"/>
      <c r="AM1499" s="30"/>
      <c r="AN1499" s="30"/>
      <c r="AO1499" s="30"/>
      <c r="AP1499" s="30"/>
      <c r="AQ1499" s="30"/>
      <c r="AR1499" s="30"/>
      <c r="AS1499" s="30"/>
      <c r="AT1499" s="492"/>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2"/>
    </row>
    <row r="1500" spans="1:78" s="142" customFormat="1" ht="12.75" hidden="1" customHeight="1" thickBot="1">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3"/>
      <c r="Q1500" s="23"/>
      <c r="R1500" s="23"/>
      <c r="S1500" s="23"/>
      <c r="T1500" s="23"/>
      <c r="U1500" s="23"/>
      <c r="V1500" s="30"/>
      <c r="W1500" s="30"/>
      <c r="X1500" s="30"/>
      <c r="Y1500" s="494"/>
      <c r="Z1500" s="30"/>
      <c r="AA1500" s="30"/>
      <c r="AB1500" s="30"/>
      <c r="AC1500" s="1172" t="b">
        <f>AC1498</f>
        <v>0</v>
      </c>
      <c r="AD1500" s="30"/>
      <c r="AE1500" s="30"/>
      <c r="AF1500" s="58"/>
      <c r="AG1500" s="30"/>
      <c r="AH1500" s="30"/>
      <c r="AI1500" s="30"/>
      <c r="AJ1500" s="504"/>
      <c r="AK1500" s="504"/>
      <c r="AL1500" s="342"/>
      <c r="AM1500" s="30"/>
      <c r="AN1500" s="30"/>
      <c r="AO1500" s="30"/>
      <c r="AP1500" s="30"/>
      <c r="AQ1500" s="30"/>
      <c r="AR1500" s="30"/>
      <c r="AS1500" s="30"/>
      <c r="AT1500" s="1172"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2" t="b">
        <f>OR(BZ1498,AND(NOT(ISBLANK(L1498)),L1498=FALSE))</f>
        <v>1</v>
      </c>
    </row>
    <row r="1501" spans="1:78" s="142" customFormat="1" ht="5.0999999999999996" hidden="1" customHeight="1">
      <c r="A1501" s="808"/>
      <c r="B1501" s="166"/>
      <c r="C1501" s="166"/>
      <c r="D1501" s="166"/>
      <c r="E1501" s="166"/>
      <c r="F1501" s="166"/>
      <c r="G1501" s="166"/>
      <c r="M1501" s="143"/>
      <c r="N1501" s="143"/>
      <c r="O1501" s="733"/>
      <c r="P1501" s="23"/>
      <c r="Q1501" s="23"/>
      <c r="R1501" s="23"/>
      <c r="S1501" s="23"/>
      <c r="T1501" s="23"/>
      <c r="U1501" s="23"/>
      <c r="V1501" s="30"/>
      <c r="W1501" s="30"/>
      <c r="X1501" s="30"/>
      <c r="Y1501" s="494"/>
      <c r="Z1501" s="30"/>
      <c r="AA1501" s="30"/>
      <c r="AB1501" s="30"/>
      <c r="AC1501" s="30"/>
      <c r="AD1501" s="30"/>
      <c r="AE1501" s="30"/>
      <c r="AF1501" s="58"/>
      <c r="AG1501" s="30"/>
      <c r="AH1501" s="30"/>
      <c r="AI1501" s="30"/>
      <c r="AJ1501" s="504"/>
      <c r="AK1501" s="504"/>
      <c r="AL1501" s="342"/>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hidden="1" customHeight="1" thickBot="1">
      <c r="A1502" s="808"/>
      <c r="B1502" s="166"/>
      <c r="C1502" s="166"/>
      <c r="D1502" s="166"/>
      <c r="E1502" s="166"/>
      <c r="F1502" s="506" t="str">
        <f>Translations!$B$333</f>
        <v>Pakopa</v>
      </c>
      <c r="G1502" s="1557" t="str">
        <f>Translations!$B$672</f>
        <v>pakopos aprašas</v>
      </c>
      <c r="H1502" s="1557"/>
      <c r="I1502" s="1555" t="str">
        <f>Translations!$B$158</f>
        <v>Vienetas</v>
      </c>
      <c r="J1502" s="1555"/>
      <c r="K1502" s="1555" t="str">
        <f>Translations!$B$673</f>
        <v>Vertė</v>
      </c>
      <c r="L1502" s="1555"/>
      <c r="M1502" s="507" t="str">
        <f>Translations!$B$610</f>
        <v>klaida</v>
      </c>
      <c r="O1502" s="733"/>
      <c r="P1502" s="508"/>
      <c r="Q1502" s="352" t="str">
        <f>EUconst_SumEnergyIN &amp; "_" &amp; K1493</f>
        <v>SUM_EnergyIN_</v>
      </c>
      <c r="R1502" s="399" t="str">
        <f>IF(OR(K1493="",T1494)=TRUE,"",INDEX(BC1508:BE1508,MATCH(K1493,BC1503:BE1503,0)))</f>
        <v/>
      </c>
      <c r="S1502" s="30"/>
      <c r="T1502" s="489"/>
      <c r="U1502" s="30"/>
      <c r="V1502" s="509" t="s">
        <v>303</v>
      </c>
      <c r="W1502" s="30"/>
      <c r="X1502" s="30"/>
      <c r="Y1502" s="494" t="s">
        <v>566</v>
      </c>
      <c r="Z1502" s="494" t="s">
        <v>318</v>
      </c>
      <c r="AA1502" s="30"/>
      <c r="AB1502" s="30"/>
      <c r="AC1502" s="505" t="s">
        <v>309</v>
      </c>
      <c r="AD1502" s="30"/>
      <c r="AE1502" s="30"/>
      <c r="AF1502" s="492" t="s">
        <v>305</v>
      </c>
      <c r="AG1502" s="492" t="s">
        <v>306</v>
      </c>
      <c r="AH1502" s="494" t="s">
        <v>304</v>
      </c>
      <c r="AI1502" s="504" t="s">
        <v>307</v>
      </c>
      <c r="AJ1502" s="504" t="s">
        <v>567</v>
      </c>
      <c r="AK1502" s="510" t="s">
        <v>311</v>
      </c>
      <c r="AL1502" s="342"/>
      <c r="AM1502" s="30"/>
      <c r="AN1502" s="492" t="s">
        <v>305</v>
      </c>
      <c r="AO1502" s="492" t="s">
        <v>306</v>
      </c>
      <c r="AP1502" s="511" t="s">
        <v>310</v>
      </c>
      <c r="AQ1502" s="504" t="s">
        <v>569</v>
      </c>
      <c r="AR1502" s="504" t="s">
        <v>568</v>
      </c>
      <c r="AS1502" s="510" t="s">
        <v>609</v>
      </c>
      <c r="AT1502" s="510" t="s">
        <v>609</v>
      </c>
      <c r="AU1502" s="30"/>
      <c r="AV1502" s="492"/>
      <c r="AW1502" s="492"/>
      <c r="AX1502" s="492" t="s">
        <v>321</v>
      </c>
      <c r="AY1502" s="492"/>
      <c r="AZ1502" s="492"/>
      <c r="BA1502" s="492"/>
      <c r="BB1502" s="492"/>
      <c r="BC1502" s="492"/>
      <c r="BD1502" s="492"/>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3" t="s">
        <v>262</v>
      </c>
    </row>
    <row r="1503" spans="1:78" s="142" customFormat="1" ht="12.75" hidden="1" customHeight="1" thickBot="1">
      <c r="A1503" s="808"/>
      <c r="B1503" s="166"/>
      <c r="C1503" s="777" t="s">
        <v>196</v>
      </c>
      <c r="D1503" s="512" t="str">
        <f>Translations!$B$622</f>
        <v>VD:</v>
      </c>
      <c r="E1503" s="513"/>
      <c r="F1503" s="402"/>
      <c r="G1503" s="1532" t="str">
        <f>IF(OR(ISBLANK(F1503),F1503=EUconst_NoTier),"",IF(Z1503=0,EUconst_NA,IF(ISERROR(Z1503),"",Z1503)))</f>
        <v/>
      </c>
      <c r="H1503" s="1533"/>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0"/>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0"/>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0"/>
      <c r="AV1503" s="492" t="s">
        <v>314</v>
      </c>
      <c r="AW1503" s="492" t="s">
        <v>319</v>
      </c>
      <c r="AX1503" s="524"/>
      <c r="AY1503" s="30" t="s">
        <v>542</v>
      </c>
      <c r="AZ1503" s="30"/>
      <c r="BA1503" s="30"/>
      <c r="BB1503" s="504"/>
      <c r="BC1503" s="493" t="str">
        <f>EUconst_Fuel</f>
        <v>Degimas</v>
      </c>
      <c r="BD1503" s="493" t="str">
        <f>EUconst_ProcessCarbonate</f>
        <v>Proceso metu išsiskiriančios ŠESD</v>
      </c>
      <c r="BE1503" s="493"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4" t="b">
        <f>BZ1498</f>
        <v>1</v>
      </c>
    </row>
    <row r="1504" spans="1:78" s="142" customFormat="1" ht="5.0999999999999996" hidden="1" customHeight="1">
      <c r="A1504" s="808"/>
      <c r="B1504" s="166"/>
      <c r="C1504" s="814"/>
      <c r="D1504" s="306"/>
      <c r="F1504" s="143"/>
      <c r="G1504" s="143"/>
      <c r="H1504" s="143" t="s">
        <v>236</v>
      </c>
      <c r="I1504" s="525"/>
      <c r="J1504" s="525"/>
      <c r="K1504" s="143"/>
      <c r="L1504" s="143"/>
      <c r="M1504" s="710"/>
      <c r="O1504" s="733"/>
      <c r="P1504" s="33"/>
      <c r="Q1504" s="33"/>
      <c r="R1504" s="33"/>
      <c r="S1504" s="30"/>
      <c r="T1504" s="155"/>
      <c r="U1504" s="497"/>
      <c r="V1504" s="30"/>
      <c r="W1504" s="30"/>
      <c r="X1504" s="497"/>
      <c r="Y1504" s="526"/>
      <c r="Z1504" s="30"/>
      <c r="AA1504" s="30"/>
      <c r="AB1504" s="30"/>
      <c r="AC1504" s="30"/>
      <c r="AD1504" s="30"/>
      <c r="AE1504" s="30"/>
      <c r="AF1504" s="30"/>
      <c r="AG1504" s="30"/>
      <c r="AH1504" s="30"/>
      <c r="AI1504" s="30"/>
      <c r="AJ1504" s="30"/>
      <c r="AK1504" s="30"/>
      <c r="AL1504" s="342"/>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3"/>
    </row>
    <row r="1505" spans="1:78" s="142" customFormat="1" ht="12.75" hidden="1" customHeight="1" thickBot="1">
      <c r="A1505" s="808"/>
      <c r="B1505" s="166"/>
      <c r="C1505" s="814" t="s">
        <v>197</v>
      </c>
      <c r="D1505" s="512" t="str">
        <f>Translations!$B$634</f>
        <v>(prelim.) ITF:</v>
      </c>
      <c r="E1505" s="513"/>
      <c r="F1505" s="527"/>
      <c r="G1505" s="1532" t="str">
        <f t="shared" ref="G1505:G1511" si="371">IF(OR(ISBLANK(F1505),F1505=EUconst_NoTier),"",IF(Z1505=0,EUconst_NotApplicable,IF(ISERROR(Z1505),"",Z1505)))</f>
        <v/>
      </c>
      <c r="H1505" s="1556"/>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3"/>
      <c r="Q1505" s="33"/>
      <c r="R1505" s="33"/>
      <c r="S1505" s="30"/>
      <c r="T1505" s="530" t="str">
        <f>EUconst_CNTR_EF&amp;E1494</f>
        <v>EF_</v>
      </c>
      <c r="U1505" s="497"/>
      <c r="V1505" s="531" t="str">
        <f>V1503</f>
        <v/>
      </c>
      <c r="W1505" s="30"/>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0"/>
      <c r="AC1505" s="535" t="b">
        <f>AND(AC1503,Y1505&lt;&gt;EUconst_NA)</f>
        <v>0</v>
      </c>
      <c r="AD1505" s="30"/>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0"/>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0"/>
      <c r="BA1505" s="30"/>
      <c r="BB1505" s="547" t="s">
        <v>594</v>
      </c>
      <c r="BC1505" s="546" t="str">
        <f>IF(K1493=BC1503,AR1503*IF(AJ1505=EUconst_tCO2pTJ,(AR1506/1000),1)*AR1505*AR1507*AR1511,"")</f>
        <v/>
      </c>
      <c r="BD1505" s="524" t="str">
        <f>IF(K1493=BD1503,AR1503*AR1505*AR1508*AR1511,"")</f>
        <v/>
      </c>
      <c r="BE1505" s="523"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1" t="b">
        <f>OR(BZ1503,Y1505=EUconst_NA)</f>
        <v>1</v>
      </c>
    </row>
    <row r="1506" spans="1:78" s="142" customFormat="1" ht="12.75" hidden="1" customHeight="1" thickBot="1">
      <c r="A1506" s="808"/>
      <c r="B1506" s="166"/>
      <c r="C1506" s="814" t="s">
        <v>198</v>
      </c>
      <c r="D1506" s="512" t="str">
        <f>Translations!$B$636</f>
        <v>GŠV:</v>
      </c>
      <c r="E1506" s="513"/>
      <c r="F1506" s="548"/>
      <c r="G1506" s="1532" t="str">
        <f t="shared" si="371"/>
        <v/>
      </c>
      <c r="H1506" s="1533"/>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3"/>
      <c r="Q1506" s="33"/>
      <c r="R1506" s="33"/>
      <c r="S1506" s="30"/>
      <c r="T1506" s="552" t="str">
        <f>EUconst_CNTR_NCV&amp;E1494</f>
        <v>NCV_</v>
      </c>
      <c r="U1506" s="497"/>
      <c r="V1506" s="553" t="str">
        <f t="shared" ref="V1506:V1511" si="377">V1505</f>
        <v/>
      </c>
      <c r="W1506" s="30"/>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0"/>
      <c r="AC1506" s="557" t="b">
        <f>AND(AC1503,Y1506&lt;&gt;EUconst_NA)</f>
        <v>0</v>
      </c>
      <c r="AD1506" s="30"/>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0"/>
      <c r="AV1506" s="567" t="b">
        <f t="shared" si="374"/>
        <v>0</v>
      </c>
      <c r="AW1506" s="568" t="b">
        <f t="shared" si="375"/>
        <v>0</v>
      </c>
      <c r="AX1506" s="30"/>
      <c r="AY1506" s="553" t="b">
        <f t="shared" si="376"/>
        <v>0</v>
      </c>
      <c r="AZ1506" s="30"/>
      <c r="BA1506" s="30"/>
      <c r="BB1506" s="547" t="s">
        <v>595</v>
      </c>
      <c r="BC1506" s="546" t="str">
        <f>IF(K1493=BC1503,AR1503*IF(AJ1505=EUconst_tCO2pTJ,(AR1506/1000),1)*AR1505*AR1507*AR1510,"")</f>
        <v/>
      </c>
      <c r="BD1506" s="524" t="str">
        <f>IF(K1493=BD1503,AR1503*AR1505*AR1508*AR1510,"")</f>
        <v/>
      </c>
      <c r="BE1506" s="523"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3" t="b">
        <f>OR(BZ1503,Y1506=EUconst_NA)</f>
        <v>1</v>
      </c>
    </row>
    <row r="1507" spans="1:78" s="142" customFormat="1" ht="12.75" hidden="1" customHeight="1" thickBot="1">
      <c r="A1507" s="808"/>
      <c r="B1507" s="166"/>
      <c r="C1507" s="814" t="s">
        <v>199</v>
      </c>
      <c r="D1507" s="512" t="str">
        <f>Translations!$B$638</f>
        <v>OksK:</v>
      </c>
      <c r="E1507" s="513"/>
      <c r="F1507" s="548"/>
      <c r="G1507" s="1532" t="str">
        <f t="shared" si="371"/>
        <v/>
      </c>
      <c r="H1507" s="1533"/>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3"/>
      <c r="Q1507" s="33"/>
      <c r="R1507" s="33"/>
      <c r="S1507" s="30"/>
      <c r="T1507" s="552" t="str">
        <f>EUconst_CNTR_OxidationFactor&amp;E1494</f>
        <v>OxF_</v>
      </c>
      <c r="U1507" s="497"/>
      <c r="V1507" s="553" t="str">
        <f t="shared" si="377"/>
        <v/>
      </c>
      <c r="W1507" s="30"/>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0"/>
      <c r="AC1507" s="557" t="b">
        <f>AND(AC1503,Y1507&lt;&gt;EUconst_NA)</f>
        <v>0</v>
      </c>
      <c r="AD1507" s="30"/>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0"/>
      <c r="AV1507" s="567" t="b">
        <f t="shared" si="374"/>
        <v>0</v>
      </c>
      <c r="AW1507" s="568" t="b">
        <f t="shared" si="375"/>
        <v>0</v>
      </c>
      <c r="AX1507" s="30"/>
      <c r="AY1507" s="594" t="b">
        <f t="shared" si="376"/>
        <v>0</v>
      </c>
      <c r="AZ1507" s="531" t="b">
        <f>AR1507&gt;100%</f>
        <v>0</v>
      </c>
      <c r="BA1507" s="30"/>
      <c r="BB1507" s="547" t="s">
        <v>290</v>
      </c>
      <c r="BC1507" s="546" t="str">
        <f>IF(K1493=BC1503,AR1503*IF(AJ1505=EUconst_tCO2pTJ,(AR1506/1000),1)*AR1505*AR1507*(1-AR1510),"")</f>
        <v/>
      </c>
      <c r="BD1507" s="524" t="str">
        <f>IF(K1493=BD1503,AR1503*AR1505*AR1508*(1-AR1510),"")</f>
        <v/>
      </c>
      <c r="BE1507" s="523"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3" t="b">
        <f>OR(BZ1503,Y1507=EUconst_NA)</f>
        <v>1</v>
      </c>
    </row>
    <row r="1508" spans="1:78" s="142" customFormat="1" ht="12.75" hidden="1" customHeight="1" thickBot="1">
      <c r="A1508" s="808"/>
      <c r="B1508" s="166"/>
      <c r="C1508" s="814" t="s">
        <v>200</v>
      </c>
      <c r="D1508" s="512" t="str">
        <f>Translations!$B$639</f>
        <v>KonvK:</v>
      </c>
      <c r="E1508" s="513"/>
      <c r="F1508" s="548"/>
      <c r="G1508" s="1532" t="str">
        <f t="shared" si="371"/>
        <v/>
      </c>
      <c r="H1508" s="1533"/>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3"/>
      <c r="Q1508" s="33"/>
      <c r="R1508" s="33"/>
      <c r="S1508" s="30"/>
      <c r="T1508" s="552" t="str">
        <f>EUconst_CNTR_ConversionFactor&amp;E1494</f>
        <v>ConvF_</v>
      </c>
      <c r="U1508" s="497"/>
      <c r="V1508" s="553" t="str">
        <f t="shared" si="377"/>
        <v/>
      </c>
      <c r="W1508" s="30"/>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0"/>
      <c r="AC1508" s="557" t="b">
        <f>AND(AC1503,Y1508&lt;&gt;EUconst_NA)</f>
        <v>0</v>
      </c>
      <c r="AD1508" s="30"/>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0"/>
      <c r="AV1508" s="567" t="b">
        <f t="shared" si="374"/>
        <v>0</v>
      </c>
      <c r="AW1508" s="568" t="b">
        <f t="shared" si="375"/>
        <v>0</v>
      </c>
      <c r="AX1508" s="30"/>
      <c r="AY1508" s="594" t="b">
        <f t="shared" si="376"/>
        <v>0</v>
      </c>
      <c r="AZ1508" s="580" t="b">
        <f>AR1508&gt;100%</f>
        <v>0</v>
      </c>
      <c r="BA1508" s="30"/>
      <c r="BB1508" s="578" t="s">
        <v>487</v>
      </c>
      <c r="BC1508" s="579">
        <f>AR1503*AR1506/1000*(1-AR1510)</f>
        <v>0</v>
      </c>
      <c r="BD1508" s="580">
        <f>BC1508</f>
        <v>0</v>
      </c>
      <c r="BE1508" s="581">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3" t="b">
        <f>OR(BZ1503,Y1508=EUconst_NA)</f>
        <v>1</v>
      </c>
    </row>
    <row r="1509" spans="1:78" s="142" customFormat="1" ht="12.75" hidden="1" customHeight="1" thickBot="1">
      <c r="A1509" s="808"/>
      <c r="B1509" s="166"/>
      <c r="C1509" s="814" t="s">
        <v>329</v>
      </c>
      <c r="D1509" s="512" t="str">
        <f>Translations!$B$640</f>
        <v>AnglK:</v>
      </c>
      <c r="E1509" s="513"/>
      <c r="F1509" s="548"/>
      <c r="G1509" s="1532" t="str">
        <f t="shared" si="371"/>
        <v/>
      </c>
      <c r="H1509" s="1533"/>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3"/>
      <c r="Q1509" s="33"/>
      <c r="R1509" s="33"/>
      <c r="S1509" s="30"/>
      <c r="T1509" s="552" t="str">
        <f>EUconst_CNTR_CarbonContent&amp;E1494</f>
        <v>CarbC_</v>
      </c>
      <c r="U1509" s="497"/>
      <c r="V1509" s="553" t="str">
        <f t="shared" si="377"/>
        <v/>
      </c>
      <c r="W1509" s="30"/>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0"/>
      <c r="AC1509" s="557" t="b">
        <f>AND(AC1503,Y1509&lt;&gt;EUconst_NA)</f>
        <v>0</v>
      </c>
      <c r="AD1509" s="30"/>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0"/>
      <c r="AV1509" s="567" t="b">
        <f t="shared" si="374"/>
        <v>0</v>
      </c>
      <c r="AW1509" s="568" t="b">
        <f t="shared" si="375"/>
        <v>0</v>
      </c>
      <c r="AX1509" s="546" t="b">
        <f>OR(AND(AJ1503=EUconst_kNm3,AJ1509=EUconst_tCpt),AND(AJ1503=EUconst_t,AJ1509=EUconst_tCpkNm3))</f>
        <v>0</v>
      </c>
      <c r="AY1509" s="553" t="b">
        <f t="shared" si="376"/>
        <v>0</v>
      </c>
      <c r="AZ1509" s="30"/>
      <c r="BA1509" s="30"/>
      <c r="BB1509" s="578" t="s">
        <v>488</v>
      </c>
      <c r="BC1509" s="579">
        <f>AR1503*AR1506/1000*AR1510</f>
        <v>0</v>
      </c>
      <c r="BD1509" s="580">
        <f>BC1509</f>
        <v>0</v>
      </c>
      <c r="BE1509" s="581">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3" t="b">
        <f>OR(BZ1503,Y1509=EUconst_NA)</f>
        <v>1</v>
      </c>
    </row>
    <row r="1510" spans="1:78" s="142" customFormat="1" ht="12.75" hidden="1" customHeight="1">
      <c r="A1510" s="808"/>
      <c r="B1510" s="166"/>
      <c r="C1510" s="777" t="s">
        <v>330</v>
      </c>
      <c r="D1510" s="512" t="str">
        <f>Translations!$B$641</f>
        <v>BioC:</v>
      </c>
      <c r="E1510" s="513"/>
      <c r="F1510" s="548"/>
      <c r="G1510" s="1532" t="str">
        <f t="shared" si="371"/>
        <v/>
      </c>
      <c r="H1510" s="1533"/>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0"/>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0"/>
      <c r="AC1510" s="557" t="b">
        <f>AND(AC1503,Y1510&lt;&gt;EUconst_NA)</f>
        <v>0</v>
      </c>
      <c r="AD1510" s="30"/>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0"/>
      <c r="AV1510" s="567" t="b">
        <f t="shared" si="374"/>
        <v>0</v>
      </c>
      <c r="AW1510" s="568" t="b">
        <f t="shared" si="375"/>
        <v>0</v>
      </c>
      <c r="AX1510" s="30"/>
      <c r="AY1510" s="594" t="b">
        <f t="shared" si="376"/>
        <v>0</v>
      </c>
      <c r="AZ1510" s="531"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3" t="b">
        <f>OR(BZ1503,Y1510=EUconst_NA)</f>
        <v>1</v>
      </c>
    </row>
    <row r="1511" spans="1:78" s="142" customFormat="1" ht="12.75" hidden="1" customHeight="1" thickBot="1">
      <c r="A1511" s="808"/>
      <c r="B1511" s="166"/>
      <c r="C1511" s="777" t="s">
        <v>454</v>
      </c>
      <c r="D1511" s="512" t="str">
        <f>Translations!$B$647</f>
        <v>Netvar. BioC:</v>
      </c>
      <c r="E1511" s="513"/>
      <c r="F1511" s="597"/>
      <c r="G1511" s="1532" t="str">
        <f t="shared" si="371"/>
        <v/>
      </c>
      <c r="H1511" s="1533"/>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0"/>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0"/>
      <c r="AC1511" s="603" t="b">
        <f>AND(AC1503,Y1511&lt;&gt;EUconst_NA)</f>
        <v>0</v>
      </c>
      <c r="AD1511" s="30"/>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0"/>
      <c r="AV1511" s="613" t="b">
        <f t="shared" si="374"/>
        <v>0</v>
      </c>
      <c r="AW1511" s="614" t="b">
        <f t="shared" si="375"/>
        <v>0</v>
      </c>
      <c r="AX1511" s="30"/>
      <c r="AY1511" s="579" t="b">
        <f t="shared" si="376"/>
        <v>0</v>
      </c>
      <c r="AZ1511" s="580"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80" t="b">
        <f>OR(BZ1503,Y1511=EUconst_NA)</f>
        <v>1</v>
      </c>
    </row>
    <row r="1512" spans="1:78" s="142" customFormat="1" ht="4.5" hidden="1" customHeight="1">
      <c r="A1512" s="808"/>
      <c r="B1512" s="166"/>
      <c r="C1512" s="166"/>
      <c r="D1512" s="180"/>
      <c r="O1512" s="733"/>
      <c r="P1512" s="33"/>
      <c r="Q1512" s="33"/>
      <c r="R1512" s="33"/>
      <c r="S1512" s="174"/>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hidden="1" customHeight="1">
      <c r="A1513" s="808"/>
      <c r="B1513" s="166"/>
      <c r="C1513" s="166"/>
      <c r="D1513" s="1558" t="str">
        <f>Translations!$B$674</f>
        <v>Pakopos galioja nuo:</v>
      </c>
      <c r="E1513" s="1558"/>
      <c r="F1513" s="1559"/>
      <c r="G1513" s="1052"/>
      <c r="H1513" s="615" t="str">
        <f>Translations!$B$675</f>
        <v>iki:</v>
      </c>
      <c r="I1513" s="1052"/>
      <c r="J1513" s="1536" t="str">
        <f>Translations!$B$676</f>
        <v>Atliekų katalogo numeris (jeigu taikytina):</v>
      </c>
      <c r="K1513" s="1537"/>
      <c r="L1513" s="1537"/>
      <c r="M1513" s="1538"/>
      <c r="N1513" s="1289"/>
      <c r="O1513" s="733"/>
      <c r="P1513" s="33"/>
      <c r="Q1513" s="33"/>
      <c r="R1513" s="33"/>
      <c r="S1513" s="1290"/>
      <c r="T1513" s="492"/>
      <c r="U1513" s="492"/>
      <c r="V1513" s="48" t="b">
        <f>IF(V1503="",FALSE,INDEX(CNTR_IsWaste,MATCH(V1503,MSParameters!$A$218:$A$376,0)))</f>
        <v>0</v>
      </c>
      <c r="W1513" s="1290"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4.5" hidden="1" customHeight="1">
      <c r="A1514" s="808"/>
      <c r="B1514" s="166"/>
      <c r="C1514" s="166"/>
      <c r="D1514" s="615"/>
      <c r="E1514" s="495"/>
      <c r="F1514" s="495"/>
      <c r="G1514" s="495"/>
      <c r="H1514" s="495"/>
      <c r="I1514" s="495"/>
      <c r="J1514" s="495"/>
      <c r="K1514" s="495"/>
      <c r="L1514" s="495"/>
      <c r="M1514" s="495"/>
      <c r="N1514" s="495"/>
      <c r="O1514" s="733"/>
      <c r="P1514" s="33"/>
      <c r="Q1514" s="33"/>
      <c r="R1514" s="33"/>
      <c r="S1514" s="174"/>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hidden="1" customHeight="1">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3"/>
      <c r="Q1515" s="33"/>
      <c r="R1515" s="33"/>
      <c r="S1515" s="174"/>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4.5" hidden="1" customHeight="1">
      <c r="A1516" s="815"/>
      <c r="D1516" s="180"/>
      <c r="O1516" s="573"/>
      <c r="P1516" s="497"/>
      <c r="Q1516" s="497"/>
      <c r="R1516" s="497"/>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hidden="1">
      <c r="A1517" s="815"/>
      <c r="D1517" s="1534" t="str">
        <f>Translations!$B$160</f>
        <v>Pastabos:</v>
      </c>
      <c r="E1517" s="1535"/>
      <c r="F1517" s="1539"/>
      <c r="G1517" s="1540"/>
      <c r="H1517" s="1540"/>
      <c r="I1517" s="1540"/>
      <c r="J1517" s="1540"/>
      <c r="K1517" s="1540"/>
      <c r="L1517" s="1540"/>
      <c r="M1517" s="1540"/>
      <c r="N1517" s="1541"/>
      <c r="O1517" s="573"/>
      <c r="P1517" s="497"/>
      <c r="Q1517" s="497"/>
      <c r="R1517" s="497"/>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c r="A1518" s="808"/>
      <c r="B1518" s="495"/>
      <c r="C1518" s="499"/>
      <c r="D1518" s="500"/>
      <c r="E1518" s="501"/>
      <c r="F1518" s="499"/>
      <c r="G1518" s="502"/>
      <c r="H1518" s="502"/>
      <c r="I1518" s="502"/>
      <c r="J1518" s="502"/>
      <c r="K1518" s="502"/>
      <c r="L1518" s="502"/>
      <c r="M1518" s="502"/>
      <c r="N1518" s="502"/>
      <c r="O1518" s="740"/>
      <c r="P1518" s="494"/>
      <c r="Q1518" s="494"/>
      <c r="R1518" s="494"/>
      <c r="S1518" s="58"/>
      <c r="T1518" s="58"/>
      <c r="U1518" s="498"/>
      <c r="V1518" s="58"/>
      <c r="W1518" s="58"/>
      <c r="X1518" s="498"/>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c r="A1519" s="813"/>
      <c r="B1519" s="495"/>
      <c r="C1519" s="495"/>
      <c r="D1519" s="180"/>
      <c r="E1519" s="496"/>
      <c r="F1519" s="495"/>
      <c r="G1519" s="487"/>
      <c r="H1519" s="487"/>
      <c r="I1519" s="487"/>
      <c r="J1519" s="487"/>
      <c r="K1519" s="495"/>
      <c r="L1519" s="487"/>
      <c r="M1519" s="487"/>
      <c r="N1519" s="487"/>
      <c r="O1519" s="740"/>
      <c r="P1519" s="494"/>
      <c r="Q1519" s="494"/>
      <c r="R1519" s="494"/>
      <c r="S1519" s="23"/>
      <c r="T1519" s="27" t="str">
        <f>IF(ISBLANK(E1520),"",MATCH(E1520,CNTR_SourceStreamNames,0))</f>
        <v/>
      </c>
      <c r="U1519" s="618"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1"/>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3" t="s">
        <v>262</v>
      </c>
    </row>
    <row r="1520" spans="1:78" s="142" customFormat="1" ht="15" hidden="1" customHeight="1" thickBot="1">
      <c r="A1520" s="869" t="str">
        <f>IF(E1520="","","PRINT")</f>
        <v/>
      </c>
      <c r="B1520" s="166"/>
      <c r="C1520" s="617">
        <f>C1493+1</f>
        <v>55</v>
      </c>
      <c r="D1520" s="166"/>
      <c r="E1520" s="1542"/>
      <c r="F1520" s="1543"/>
      <c r="G1520" s="1543"/>
      <c r="H1520" s="1543"/>
      <c r="I1520" s="1543"/>
      <c r="J1520" s="1544"/>
      <c r="K1520" s="1545" t="str">
        <f>IF(E1521="","",INDEX(EUwideConstants!$F$353:$F$394,MATCH(E1521,EUConst_TierActivityListNames,0)))</f>
        <v/>
      </c>
      <c r="L1520" s="1546"/>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3"/>
      <c r="T1520" s="509" t="s">
        <v>393</v>
      </c>
      <c r="U1520" s="23"/>
      <c r="V1520" s="78"/>
      <c r="W1520" s="56"/>
      <c r="X1520" s="58"/>
      <c r="Y1520" s="58"/>
      <c r="Z1520" s="58"/>
      <c r="AA1520" s="58"/>
      <c r="AB1520" s="58"/>
      <c r="AC1520" s="58"/>
      <c r="AD1520" s="58"/>
      <c r="AE1520" s="58"/>
      <c r="AF1520" s="58"/>
      <c r="AG1520" s="58"/>
      <c r="AH1520" s="58"/>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6"/>
      <c r="BZ1520" s="619" t="b">
        <f>CNTR_CalcRelevant=EUconst_NotRelevant</f>
        <v>0</v>
      </c>
    </row>
    <row r="1521" spans="1:78" s="142" customFormat="1" ht="15" hidden="1" customHeight="1" thickBot="1">
      <c r="A1521" s="808"/>
      <c r="B1521" s="166"/>
      <c r="C1521" s="166"/>
      <c r="D1521" s="166"/>
      <c r="E1521" s="1547" t="str">
        <f>IF(ISBLANK(E1520),"",IF(INDEX(B_InstallationDescription!$E$71:$E$145,MATCH(U1519,B_InstallationDescription!$D$71:$D$145,0))&gt;0,INDEX(B_InstallationDescription!$E$71:$E$145,MATCH(U1519,B_InstallationDescription!$D$71:$D$145,0)),""))</f>
        <v/>
      </c>
      <c r="F1521" s="1548"/>
      <c r="G1521" s="1548"/>
      <c r="H1521" s="1548"/>
      <c r="I1521" s="1548"/>
      <c r="J1521" s="1549"/>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4"/>
      <c r="AH1521" s="30"/>
      <c r="AI1521" s="30"/>
      <c r="AJ1521" s="504"/>
      <c r="AK1521" s="504"/>
      <c r="AL1521" s="342"/>
      <c r="AM1521" s="27" t="s">
        <v>308</v>
      </c>
      <c r="AN1521" s="505"/>
      <c r="AO1521" s="505"/>
      <c r="AP1521" s="30"/>
      <c r="AQ1521" s="30"/>
      <c r="AR1521" s="30"/>
      <c r="AS1521" s="30"/>
      <c r="AT1521" s="30"/>
      <c r="AU1521" s="30"/>
      <c r="AV1521" s="27" t="s">
        <v>315</v>
      </c>
      <c r="AW1521" s="30"/>
      <c r="AX1521" s="492"/>
      <c r="AY1521" s="30"/>
      <c r="AZ1521" s="30"/>
      <c r="BA1521" s="30"/>
      <c r="BB1521" s="27" t="s">
        <v>219</v>
      </c>
      <c r="BC1521" s="30"/>
      <c r="BD1521" s="30"/>
      <c r="BE1521" s="30"/>
      <c r="BF1521" s="30"/>
      <c r="BG1521" s="27"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0"/>
      <c r="BZ1521" s="30"/>
    </row>
    <row r="1522" spans="1:78" s="142" customFormat="1" ht="4.5" hidden="1" customHeight="1" thickBot="1">
      <c r="A1522" s="808"/>
      <c r="B1522" s="166"/>
      <c r="C1522" s="166"/>
      <c r="D1522" s="166"/>
      <c r="E1522" s="166"/>
      <c r="F1522" s="166"/>
      <c r="G1522" s="166"/>
      <c r="M1522" s="143"/>
      <c r="N1522" s="143"/>
      <c r="O1522" s="733"/>
      <c r="P1522" s="33"/>
      <c r="Q1522" s="33"/>
      <c r="R1522" s="33"/>
      <c r="S1522" s="23"/>
      <c r="T1522" s="23"/>
      <c r="U1522" s="23"/>
      <c r="V1522" s="78"/>
      <c r="W1522" s="30"/>
      <c r="X1522" s="30"/>
      <c r="Y1522" s="494"/>
      <c r="Z1522" s="30"/>
      <c r="AA1522" s="30"/>
      <c r="AB1522" s="30"/>
      <c r="AC1522" s="30"/>
      <c r="AD1522" s="30"/>
      <c r="AE1522" s="30"/>
      <c r="AF1522" s="58"/>
      <c r="AG1522" s="30"/>
      <c r="AH1522" s="30"/>
      <c r="AI1522" s="30"/>
      <c r="AJ1522" s="504"/>
      <c r="AK1522" s="504"/>
      <c r="AL1522" s="342"/>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hidden="1" customHeight="1" thickBot="1">
      <c r="A1523" s="808"/>
      <c r="B1523" s="166"/>
      <c r="C1523" s="166"/>
      <c r="D1523" s="166"/>
      <c r="E1523" s="1550" t="str">
        <f>IF(E1520="","",IF(T1521=TRUE,HYPERLINK("#JUMP_14",EUconst_MsgGoOnPFC),HYPERLINK("#JUMP_E_8",EUconst_FurtherGuidancePoint1)))</f>
        <v/>
      </c>
      <c r="F1523" s="1550"/>
      <c r="G1523" s="1550"/>
      <c r="H1523" s="1550"/>
      <c r="I1523" s="1550"/>
      <c r="J1523" s="1550"/>
      <c r="K1523" s="1550"/>
      <c r="L1523" s="1550"/>
      <c r="M1523" s="1550"/>
      <c r="N1523" s="143"/>
      <c r="O1523" s="733"/>
      <c r="P1523" s="33"/>
      <c r="Q1523" s="352" t="str">
        <f>EUconst_SumNonSustBioCO2 &amp; "_" &amp; K1520</f>
        <v>SUM_bioNonSustCO2_</v>
      </c>
      <c r="R1523" s="707"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4"/>
      <c r="AK1523" s="504"/>
      <c r="AL1523" s="342"/>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hidden="1" customHeight="1" thickBot="1">
      <c r="A1524" s="808"/>
      <c r="B1524" s="166"/>
      <c r="C1524" s="166"/>
      <c r="D1524" s="166"/>
      <c r="E1524" s="166"/>
      <c r="F1524" s="166"/>
      <c r="G1524" s="166"/>
      <c r="M1524" s="143"/>
      <c r="N1524" s="143"/>
      <c r="O1524" s="733"/>
      <c r="P1524" s="23"/>
      <c r="Q1524" s="23"/>
      <c r="R1524" s="23"/>
      <c r="S1524" s="23"/>
      <c r="T1524" s="23"/>
      <c r="U1524" s="23"/>
      <c r="V1524" s="30"/>
      <c r="W1524" s="30"/>
      <c r="X1524" s="30"/>
      <c r="Y1524" s="494"/>
      <c r="Z1524" s="30"/>
      <c r="AA1524" s="30"/>
      <c r="AB1524" s="30"/>
      <c r="AC1524" s="30"/>
      <c r="AD1524" s="30"/>
      <c r="AE1524" s="30"/>
      <c r="AF1524" s="58"/>
      <c r="AG1524" s="30"/>
      <c r="AH1524" s="30"/>
      <c r="AI1524" s="30"/>
      <c r="AJ1524" s="504"/>
      <c r="AK1524" s="504"/>
      <c r="AL1524" s="342"/>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hidden="1" customHeight="1" thickBot="1">
      <c r="A1525" s="808"/>
      <c r="B1525" s="166"/>
      <c r="C1525" s="814" t="s">
        <v>4</v>
      </c>
      <c r="D1525" s="512" t="str">
        <f>Translations!$B$622</f>
        <v>VD:</v>
      </c>
      <c r="E1525" s="1560" t="str">
        <f>Translations!$B$667</f>
        <v>Ar veiklos duomenys gaunami sudedant išmatuotus kiekius (t. y. ne atliekant nuolatinius matavimus)?</v>
      </c>
      <c r="F1525" s="1560"/>
      <c r="G1525" s="1560"/>
      <c r="H1525" s="1560"/>
      <c r="I1525" s="1560"/>
      <c r="J1525" s="1560"/>
      <c r="K1525" s="1560"/>
      <c r="L1525" s="1179"/>
      <c r="M1525" s="507"/>
      <c r="O1525" s="733"/>
      <c r="P1525" s="23"/>
      <c r="Q1525" s="23"/>
      <c r="R1525" s="23"/>
      <c r="S1525" s="23"/>
      <c r="T1525" s="23"/>
      <c r="U1525" s="23"/>
      <c r="V1525" s="30"/>
      <c r="W1525" s="30"/>
      <c r="X1525" s="30"/>
      <c r="Y1525" s="494"/>
      <c r="Z1525" s="30"/>
      <c r="AA1525" s="30"/>
      <c r="AB1525" s="30"/>
      <c r="AC1525" s="1172" t="b">
        <f>AND(E1520&lt;&gt;"",T1521&lt;&gt;TRUE)</f>
        <v>0</v>
      </c>
      <c r="AD1525" s="30"/>
      <c r="AE1525" s="30"/>
      <c r="AF1525" s="58"/>
      <c r="AG1525" s="30"/>
      <c r="AH1525" s="30"/>
      <c r="AI1525" s="30"/>
      <c r="AJ1525" s="504"/>
      <c r="AK1525" s="504"/>
      <c r="AL1525" s="342"/>
      <c r="AM1525" s="30"/>
      <c r="AN1525" s="30"/>
      <c r="AO1525" s="30"/>
      <c r="AP1525" s="30"/>
      <c r="AQ1525" s="30"/>
      <c r="AR1525" s="30"/>
      <c r="AS1525" s="30"/>
      <c r="AT1525" s="1172"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2" t="b">
        <f>OR(CNTR_CalcRelevant=EUconst_NotRelevant,AND(COUNTA(CNTR_ListRelevantSections)&gt;0,OR(T1521=TRUE,E1520="")))</f>
        <v>1</v>
      </c>
    </row>
    <row r="1526" spans="1:78" s="142" customFormat="1" ht="5.0999999999999996" hidden="1" customHeight="1" thickBot="1">
      <c r="A1526" s="808"/>
      <c r="B1526" s="166"/>
      <c r="C1526" s="166"/>
      <c r="D1526" s="166"/>
      <c r="E1526" s="166"/>
      <c r="F1526" s="166"/>
      <c r="G1526" s="166"/>
      <c r="H1526" s="495"/>
      <c r="I1526" s="495"/>
      <c r="J1526" s="495"/>
      <c r="K1526" s="495"/>
      <c r="L1526" s="495"/>
      <c r="M1526" s="507"/>
      <c r="O1526" s="733"/>
      <c r="P1526" s="23"/>
      <c r="Q1526" s="23"/>
      <c r="R1526" s="23"/>
      <c r="S1526" s="23"/>
      <c r="T1526" s="23"/>
      <c r="U1526" s="23"/>
      <c r="V1526" s="30"/>
      <c r="W1526" s="30"/>
      <c r="X1526" s="30"/>
      <c r="Y1526" s="494"/>
      <c r="Z1526" s="30"/>
      <c r="AA1526" s="30"/>
      <c r="AB1526" s="30"/>
      <c r="AC1526" s="492"/>
      <c r="AD1526" s="30"/>
      <c r="AE1526" s="30"/>
      <c r="AF1526" s="58"/>
      <c r="AG1526" s="30"/>
      <c r="AH1526" s="30"/>
      <c r="AI1526" s="30"/>
      <c r="AJ1526" s="504"/>
      <c r="AK1526" s="504"/>
      <c r="AL1526" s="342"/>
      <c r="AM1526" s="30"/>
      <c r="AN1526" s="30"/>
      <c r="AO1526" s="30"/>
      <c r="AP1526" s="30"/>
      <c r="AQ1526" s="30"/>
      <c r="AR1526" s="30"/>
      <c r="AS1526" s="30"/>
      <c r="AT1526" s="492"/>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2"/>
    </row>
    <row r="1527" spans="1:78" s="142" customFormat="1" ht="12.75" hidden="1" customHeight="1" thickBot="1">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3"/>
      <c r="Q1527" s="23"/>
      <c r="R1527" s="23"/>
      <c r="S1527" s="23"/>
      <c r="T1527" s="23"/>
      <c r="U1527" s="23"/>
      <c r="V1527" s="30"/>
      <c r="W1527" s="30"/>
      <c r="X1527" s="30"/>
      <c r="Y1527" s="494"/>
      <c r="Z1527" s="30"/>
      <c r="AA1527" s="30"/>
      <c r="AB1527" s="30"/>
      <c r="AC1527" s="1172" t="b">
        <f>AC1525</f>
        <v>0</v>
      </c>
      <c r="AD1527" s="30"/>
      <c r="AE1527" s="30"/>
      <c r="AF1527" s="58"/>
      <c r="AG1527" s="30"/>
      <c r="AH1527" s="30"/>
      <c r="AI1527" s="30"/>
      <c r="AJ1527" s="504"/>
      <c r="AK1527" s="504"/>
      <c r="AL1527" s="342"/>
      <c r="AM1527" s="30"/>
      <c r="AN1527" s="30"/>
      <c r="AO1527" s="30"/>
      <c r="AP1527" s="30"/>
      <c r="AQ1527" s="30"/>
      <c r="AR1527" s="30"/>
      <c r="AS1527" s="30"/>
      <c r="AT1527" s="1172"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2" t="b">
        <f>OR(BZ1525,AND(NOT(ISBLANK(L1525)),L1525=FALSE))</f>
        <v>1</v>
      </c>
    </row>
    <row r="1528" spans="1:78" s="142" customFormat="1" ht="5.0999999999999996" hidden="1" customHeight="1" thickBot="1">
      <c r="A1528" s="808"/>
      <c r="B1528" s="166"/>
      <c r="C1528" s="166"/>
      <c r="D1528" s="166"/>
      <c r="E1528" s="166"/>
      <c r="F1528" s="166"/>
      <c r="G1528" s="166"/>
      <c r="M1528" s="143"/>
      <c r="N1528" s="143"/>
      <c r="O1528" s="733"/>
      <c r="P1528" s="23"/>
      <c r="Q1528" s="23"/>
      <c r="R1528" s="23"/>
      <c r="S1528" s="23"/>
      <c r="T1528" s="23"/>
      <c r="U1528" s="23"/>
      <c r="V1528" s="30"/>
      <c r="W1528" s="30"/>
      <c r="X1528" s="30"/>
      <c r="Y1528" s="494"/>
      <c r="Z1528" s="30"/>
      <c r="AA1528" s="30"/>
      <c r="AB1528" s="30"/>
      <c r="AC1528" s="30"/>
      <c r="AD1528" s="30"/>
      <c r="AE1528" s="30"/>
      <c r="AF1528" s="58"/>
      <c r="AG1528" s="30"/>
      <c r="AH1528" s="30"/>
      <c r="AI1528" s="30"/>
      <c r="AJ1528" s="504"/>
      <c r="AK1528" s="504"/>
      <c r="AL1528" s="342"/>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hidden="1" customHeight="1" thickBot="1">
      <c r="A1529" s="808"/>
      <c r="B1529" s="166"/>
      <c r="C1529" s="166"/>
      <c r="D1529" s="166"/>
      <c r="E1529" s="166"/>
      <c r="F1529" s="506" t="str">
        <f>Translations!$B$333</f>
        <v>Pakopa</v>
      </c>
      <c r="G1529" s="1557" t="str">
        <f>Translations!$B$672</f>
        <v>pakopos aprašas</v>
      </c>
      <c r="H1529" s="1557"/>
      <c r="I1529" s="1555" t="str">
        <f>Translations!$B$158</f>
        <v>Vienetas</v>
      </c>
      <c r="J1529" s="1555"/>
      <c r="K1529" s="1555" t="str">
        <f>Translations!$B$673</f>
        <v>Vertė</v>
      </c>
      <c r="L1529" s="1555"/>
      <c r="M1529" s="507" t="str">
        <f>Translations!$B$610</f>
        <v>klaida</v>
      </c>
      <c r="O1529" s="733"/>
      <c r="P1529" s="508"/>
      <c r="Q1529" s="352" t="str">
        <f>EUconst_SumEnergyIN &amp; "_" &amp; K1520</f>
        <v>SUM_EnergyIN_</v>
      </c>
      <c r="R1529" s="399" t="str">
        <f>IF(OR(K1520="",T1521)=TRUE,"",INDEX(BC1535:BE1535,MATCH(K1520,BC1530:BE1530,0)))</f>
        <v/>
      </c>
      <c r="S1529" s="30"/>
      <c r="T1529" s="489"/>
      <c r="U1529" s="30"/>
      <c r="V1529" s="509" t="s">
        <v>303</v>
      </c>
      <c r="W1529" s="30"/>
      <c r="X1529" s="30"/>
      <c r="Y1529" s="494" t="s">
        <v>566</v>
      </c>
      <c r="Z1529" s="494" t="s">
        <v>318</v>
      </c>
      <c r="AA1529" s="30"/>
      <c r="AB1529" s="30"/>
      <c r="AC1529" s="505" t="s">
        <v>309</v>
      </c>
      <c r="AD1529" s="30"/>
      <c r="AE1529" s="30"/>
      <c r="AF1529" s="492" t="s">
        <v>305</v>
      </c>
      <c r="AG1529" s="492" t="s">
        <v>306</v>
      </c>
      <c r="AH1529" s="494" t="s">
        <v>304</v>
      </c>
      <c r="AI1529" s="504" t="s">
        <v>307</v>
      </c>
      <c r="AJ1529" s="504" t="s">
        <v>567</v>
      </c>
      <c r="AK1529" s="510" t="s">
        <v>311</v>
      </c>
      <c r="AL1529" s="342"/>
      <c r="AM1529" s="30"/>
      <c r="AN1529" s="492" t="s">
        <v>305</v>
      </c>
      <c r="AO1529" s="492" t="s">
        <v>306</v>
      </c>
      <c r="AP1529" s="511" t="s">
        <v>310</v>
      </c>
      <c r="AQ1529" s="504" t="s">
        <v>569</v>
      </c>
      <c r="AR1529" s="504" t="s">
        <v>568</v>
      </c>
      <c r="AS1529" s="510" t="s">
        <v>609</v>
      </c>
      <c r="AT1529" s="510" t="s">
        <v>609</v>
      </c>
      <c r="AU1529" s="30"/>
      <c r="AV1529" s="492"/>
      <c r="AW1529" s="492"/>
      <c r="AX1529" s="492" t="s">
        <v>321</v>
      </c>
      <c r="AY1529" s="492"/>
      <c r="AZ1529" s="492"/>
      <c r="BA1529" s="492"/>
      <c r="BB1529" s="492"/>
      <c r="BC1529" s="492"/>
      <c r="BD1529" s="492"/>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3" t="s">
        <v>262</v>
      </c>
    </row>
    <row r="1530" spans="1:78" s="142" customFormat="1" ht="12.75" hidden="1" customHeight="1" thickBot="1">
      <c r="A1530" s="808"/>
      <c r="B1530" s="166"/>
      <c r="C1530" s="777" t="s">
        <v>196</v>
      </c>
      <c r="D1530" s="512" t="str">
        <f>Translations!$B$622</f>
        <v>VD:</v>
      </c>
      <c r="E1530" s="513"/>
      <c r="F1530" s="402"/>
      <c r="G1530" s="1532" t="str">
        <f>IF(OR(ISBLANK(F1530),F1530=EUconst_NoTier),"",IF(Z1530=0,EUconst_NA,IF(ISERROR(Z1530),"",Z1530)))</f>
        <v/>
      </c>
      <c r="H1530" s="1533"/>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0"/>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0"/>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0"/>
      <c r="AV1530" s="492" t="s">
        <v>314</v>
      </c>
      <c r="AW1530" s="492" t="s">
        <v>319</v>
      </c>
      <c r="AX1530" s="524"/>
      <c r="AY1530" s="30" t="s">
        <v>542</v>
      </c>
      <c r="AZ1530" s="30"/>
      <c r="BA1530" s="30"/>
      <c r="BB1530" s="504"/>
      <c r="BC1530" s="493" t="str">
        <f>EUconst_Fuel</f>
        <v>Degimas</v>
      </c>
      <c r="BD1530" s="493" t="str">
        <f>EUconst_ProcessCarbonate</f>
        <v>Proceso metu išsiskiriančios ŠESD</v>
      </c>
      <c r="BE1530" s="493"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4" t="b">
        <f>BZ1525</f>
        <v>1</v>
      </c>
    </row>
    <row r="1531" spans="1:78" s="142" customFormat="1" ht="4.5" hidden="1" customHeight="1" thickBot="1">
      <c r="A1531" s="808"/>
      <c r="B1531" s="166"/>
      <c r="C1531" s="814"/>
      <c r="D1531" s="306"/>
      <c r="F1531" s="143"/>
      <c r="G1531" s="143"/>
      <c r="H1531" s="143" t="s">
        <v>236</v>
      </c>
      <c r="I1531" s="525"/>
      <c r="J1531" s="525"/>
      <c r="K1531" s="143"/>
      <c r="L1531" s="143"/>
      <c r="M1531" s="710"/>
      <c r="O1531" s="733"/>
      <c r="P1531" s="33"/>
      <c r="Q1531" s="33"/>
      <c r="R1531" s="33"/>
      <c r="S1531" s="30"/>
      <c r="T1531" s="155"/>
      <c r="U1531" s="497"/>
      <c r="V1531" s="30"/>
      <c r="W1531" s="30"/>
      <c r="X1531" s="497"/>
      <c r="Y1531" s="526"/>
      <c r="Z1531" s="30"/>
      <c r="AA1531" s="30"/>
      <c r="AB1531" s="30"/>
      <c r="AC1531" s="30"/>
      <c r="AD1531" s="30"/>
      <c r="AE1531" s="30"/>
      <c r="AF1531" s="30"/>
      <c r="AG1531" s="30"/>
      <c r="AH1531" s="30"/>
      <c r="AI1531" s="30"/>
      <c r="AJ1531" s="30"/>
      <c r="AK1531" s="30"/>
      <c r="AL1531" s="342"/>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3"/>
    </row>
    <row r="1532" spans="1:78" s="142" customFormat="1" ht="12.75" hidden="1" customHeight="1" thickBot="1">
      <c r="A1532" s="808"/>
      <c r="B1532" s="166"/>
      <c r="C1532" s="814" t="s">
        <v>197</v>
      </c>
      <c r="D1532" s="512" t="str">
        <f>Translations!$B$634</f>
        <v>(prelim.) ITF:</v>
      </c>
      <c r="E1532" s="513"/>
      <c r="F1532" s="527"/>
      <c r="G1532" s="1532" t="str">
        <f t="shared" ref="G1532:G1538" si="378">IF(OR(ISBLANK(F1532),F1532=EUconst_NoTier),"",IF(Z1532=0,EUconst_NotApplicable,IF(ISERROR(Z1532),"",Z1532)))</f>
        <v/>
      </c>
      <c r="H1532" s="1556"/>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3"/>
      <c r="Q1532" s="33"/>
      <c r="R1532" s="33"/>
      <c r="S1532" s="30"/>
      <c r="T1532" s="530" t="str">
        <f>EUconst_CNTR_EF&amp;E1521</f>
        <v>EF_</v>
      </c>
      <c r="U1532" s="497"/>
      <c r="V1532" s="531" t="str">
        <f>V1530</f>
        <v/>
      </c>
      <c r="W1532" s="30"/>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0"/>
      <c r="AC1532" s="535" t="b">
        <f>AND(AC1530,Y1532&lt;&gt;EUconst_NA)</f>
        <v>0</v>
      </c>
      <c r="AD1532" s="30"/>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0"/>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0"/>
      <c r="BA1532" s="30"/>
      <c r="BB1532" s="547" t="s">
        <v>594</v>
      </c>
      <c r="BC1532" s="546" t="str">
        <f>IF(K1520=BC1530,AR1530*IF(AJ1532=EUconst_tCO2pTJ,(AR1533/1000),1)*AR1532*AR1534*AR1538,"")</f>
        <v/>
      </c>
      <c r="BD1532" s="524" t="str">
        <f>IF(K1520=BD1530,AR1530*AR1532*AR1535*AR1538,"")</f>
        <v/>
      </c>
      <c r="BE1532" s="523"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1" t="b">
        <f>OR(BZ1530,Y1532=EUconst_NA)</f>
        <v>1</v>
      </c>
    </row>
    <row r="1533" spans="1:78" s="142" customFormat="1" ht="12.75" hidden="1" customHeight="1" thickBot="1">
      <c r="A1533" s="808"/>
      <c r="B1533" s="166"/>
      <c r="C1533" s="814" t="s">
        <v>198</v>
      </c>
      <c r="D1533" s="512" t="str">
        <f>Translations!$B$636</f>
        <v>GŠV:</v>
      </c>
      <c r="E1533" s="513"/>
      <c r="F1533" s="548"/>
      <c r="G1533" s="1532" t="str">
        <f t="shared" si="378"/>
        <v/>
      </c>
      <c r="H1533" s="1533"/>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3"/>
      <c r="Q1533" s="33"/>
      <c r="R1533" s="33"/>
      <c r="S1533" s="30"/>
      <c r="T1533" s="552" t="str">
        <f>EUconst_CNTR_NCV&amp;E1521</f>
        <v>NCV_</v>
      </c>
      <c r="U1533" s="497"/>
      <c r="V1533" s="553" t="str">
        <f t="shared" ref="V1533:V1538" si="384">V1532</f>
        <v/>
      </c>
      <c r="W1533" s="30"/>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0"/>
      <c r="AC1533" s="557" t="b">
        <f>AND(AC1530,Y1533&lt;&gt;EUconst_NA)</f>
        <v>0</v>
      </c>
      <c r="AD1533" s="30"/>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0"/>
      <c r="AV1533" s="567" t="b">
        <f t="shared" si="381"/>
        <v>0</v>
      </c>
      <c r="AW1533" s="568" t="b">
        <f t="shared" si="382"/>
        <v>0</v>
      </c>
      <c r="AX1533" s="30"/>
      <c r="AY1533" s="553" t="b">
        <f t="shared" si="383"/>
        <v>0</v>
      </c>
      <c r="AZ1533" s="30"/>
      <c r="BA1533" s="30"/>
      <c r="BB1533" s="547" t="s">
        <v>595</v>
      </c>
      <c r="BC1533" s="546" t="str">
        <f>IF(K1520=BC1530,AR1530*IF(AJ1532=EUconst_tCO2pTJ,(AR1533/1000),1)*AR1532*AR1534*AR1537,"")</f>
        <v/>
      </c>
      <c r="BD1533" s="524" t="str">
        <f>IF(K1520=BD1530,AR1530*AR1532*AR1535*AR1537,"")</f>
        <v/>
      </c>
      <c r="BE1533" s="523"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3" t="b">
        <f>OR(BZ1530,Y1533=EUconst_NA)</f>
        <v>1</v>
      </c>
    </row>
    <row r="1534" spans="1:78" s="142" customFormat="1" ht="12.75" hidden="1" customHeight="1" thickBot="1">
      <c r="A1534" s="808"/>
      <c r="B1534" s="166"/>
      <c r="C1534" s="814" t="s">
        <v>199</v>
      </c>
      <c r="D1534" s="512" t="str">
        <f>Translations!$B$638</f>
        <v>OksK:</v>
      </c>
      <c r="E1534" s="513"/>
      <c r="F1534" s="548"/>
      <c r="G1534" s="1532" t="str">
        <f t="shared" si="378"/>
        <v/>
      </c>
      <c r="H1534" s="1533"/>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3"/>
      <c r="Q1534" s="33"/>
      <c r="R1534" s="33"/>
      <c r="S1534" s="30"/>
      <c r="T1534" s="552" t="str">
        <f>EUconst_CNTR_OxidationFactor&amp;E1521</f>
        <v>OxF_</v>
      </c>
      <c r="U1534" s="497"/>
      <c r="V1534" s="553" t="str">
        <f t="shared" si="384"/>
        <v/>
      </c>
      <c r="W1534" s="30"/>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0"/>
      <c r="AC1534" s="557" t="b">
        <f>AND(AC1530,Y1534&lt;&gt;EUconst_NA)</f>
        <v>0</v>
      </c>
      <c r="AD1534" s="30"/>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0"/>
      <c r="AV1534" s="567" t="b">
        <f t="shared" si="381"/>
        <v>0</v>
      </c>
      <c r="AW1534" s="568" t="b">
        <f t="shared" si="382"/>
        <v>0</v>
      </c>
      <c r="AX1534" s="30"/>
      <c r="AY1534" s="594" t="b">
        <f t="shared" si="383"/>
        <v>0</v>
      </c>
      <c r="AZ1534" s="531" t="b">
        <f>AR1534&gt;100%</f>
        <v>0</v>
      </c>
      <c r="BA1534" s="30"/>
      <c r="BB1534" s="547" t="s">
        <v>290</v>
      </c>
      <c r="BC1534" s="546" t="str">
        <f>IF(K1520=BC1530,AR1530*IF(AJ1532=EUconst_tCO2pTJ,(AR1533/1000),1)*AR1532*AR1534*(1-AR1537),"")</f>
        <v/>
      </c>
      <c r="BD1534" s="524" t="str">
        <f>IF(K1520=BD1530,AR1530*AR1532*AR1535*(1-AR1537),"")</f>
        <v/>
      </c>
      <c r="BE1534" s="523"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3" t="b">
        <f>OR(BZ1530,Y1534=EUconst_NA)</f>
        <v>1</v>
      </c>
    </row>
    <row r="1535" spans="1:78" s="142" customFormat="1" ht="12.75" hidden="1" customHeight="1" thickBot="1">
      <c r="A1535" s="808"/>
      <c r="B1535" s="166"/>
      <c r="C1535" s="814" t="s">
        <v>200</v>
      </c>
      <c r="D1535" s="512" t="str">
        <f>Translations!$B$639</f>
        <v>KonvK:</v>
      </c>
      <c r="E1535" s="513"/>
      <c r="F1535" s="548"/>
      <c r="G1535" s="1532" t="str">
        <f t="shared" si="378"/>
        <v/>
      </c>
      <c r="H1535" s="1533"/>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3"/>
      <c r="Q1535" s="33"/>
      <c r="R1535" s="33"/>
      <c r="S1535" s="30"/>
      <c r="T1535" s="552" t="str">
        <f>EUconst_CNTR_ConversionFactor&amp;E1521</f>
        <v>ConvF_</v>
      </c>
      <c r="U1535" s="497"/>
      <c r="V1535" s="553" t="str">
        <f t="shared" si="384"/>
        <v/>
      </c>
      <c r="W1535" s="30"/>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0"/>
      <c r="AC1535" s="557" t="b">
        <f>AND(AC1530,Y1535&lt;&gt;EUconst_NA)</f>
        <v>0</v>
      </c>
      <c r="AD1535" s="30"/>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0"/>
      <c r="AV1535" s="567" t="b">
        <f t="shared" si="381"/>
        <v>0</v>
      </c>
      <c r="AW1535" s="568" t="b">
        <f t="shared" si="382"/>
        <v>0</v>
      </c>
      <c r="AX1535" s="30"/>
      <c r="AY1535" s="594" t="b">
        <f t="shared" si="383"/>
        <v>0</v>
      </c>
      <c r="AZ1535" s="580" t="b">
        <f>AR1535&gt;100%</f>
        <v>0</v>
      </c>
      <c r="BA1535" s="30"/>
      <c r="BB1535" s="578" t="s">
        <v>487</v>
      </c>
      <c r="BC1535" s="579">
        <f>AR1530*AR1533/1000*(1-AR1537)</f>
        <v>0</v>
      </c>
      <c r="BD1535" s="580">
        <f>BC1535</f>
        <v>0</v>
      </c>
      <c r="BE1535" s="581">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3" t="b">
        <f>OR(BZ1530,Y1535=EUconst_NA)</f>
        <v>1</v>
      </c>
    </row>
    <row r="1536" spans="1:78" s="142" customFormat="1" ht="12.75" hidden="1" customHeight="1" thickBot="1">
      <c r="A1536" s="808"/>
      <c r="B1536" s="166"/>
      <c r="C1536" s="814" t="s">
        <v>329</v>
      </c>
      <c r="D1536" s="512" t="str">
        <f>Translations!$B$640</f>
        <v>AnglK:</v>
      </c>
      <c r="E1536" s="513"/>
      <c r="F1536" s="548"/>
      <c r="G1536" s="1532" t="str">
        <f t="shared" si="378"/>
        <v/>
      </c>
      <c r="H1536" s="1533"/>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3"/>
      <c r="Q1536" s="33"/>
      <c r="R1536" s="33"/>
      <c r="S1536" s="30"/>
      <c r="T1536" s="552" t="str">
        <f>EUconst_CNTR_CarbonContent&amp;E1521</f>
        <v>CarbC_</v>
      </c>
      <c r="U1536" s="497"/>
      <c r="V1536" s="553" t="str">
        <f t="shared" si="384"/>
        <v/>
      </c>
      <c r="W1536" s="30"/>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0"/>
      <c r="AC1536" s="557" t="b">
        <f>AND(AC1530,Y1536&lt;&gt;EUconst_NA)</f>
        <v>0</v>
      </c>
      <c r="AD1536" s="30"/>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0"/>
      <c r="AV1536" s="567" t="b">
        <f t="shared" si="381"/>
        <v>0</v>
      </c>
      <c r="AW1536" s="568" t="b">
        <f t="shared" si="382"/>
        <v>0</v>
      </c>
      <c r="AX1536" s="546" t="b">
        <f>OR(AND(AJ1530=EUconst_kNm3,AJ1536=EUconst_tCpt),AND(AJ1530=EUconst_t,AJ1536=EUconst_tCpkNm3))</f>
        <v>0</v>
      </c>
      <c r="AY1536" s="553" t="b">
        <f t="shared" si="383"/>
        <v>0</v>
      </c>
      <c r="AZ1536" s="30"/>
      <c r="BA1536" s="30"/>
      <c r="BB1536" s="578" t="s">
        <v>488</v>
      </c>
      <c r="BC1536" s="579">
        <f>AR1530*AR1533/1000*AR1537</f>
        <v>0</v>
      </c>
      <c r="BD1536" s="580">
        <f>BC1536</f>
        <v>0</v>
      </c>
      <c r="BE1536" s="581">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3" t="b">
        <f>OR(BZ1530,Y1536=EUconst_NA)</f>
        <v>1</v>
      </c>
    </row>
    <row r="1537" spans="1:78" s="142" customFormat="1" ht="12.75" hidden="1" customHeight="1">
      <c r="A1537" s="808"/>
      <c r="B1537" s="166"/>
      <c r="C1537" s="777" t="s">
        <v>330</v>
      </c>
      <c r="D1537" s="512" t="str">
        <f>Translations!$B$641</f>
        <v>BioC:</v>
      </c>
      <c r="E1537" s="513"/>
      <c r="F1537" s="548"/>
      <c r="G1537" s="1532" t="str">
        <f t="shared" si="378"/>
        <v/>
      </c>
      <c r="H1537" s="1533"/>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0"/>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0"/>
      <c r="AC1537" s="557" t="b">
        <f>AND(AC1530,Y1537&lt;&gt;EUconst_NA)</f>
        <v>0</v>
      </c>
      <c r="AD1537" s="30"/>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0"/>
      <c r="AV1537" s="567" t="b">
        <f t="shared" si="381"/>
        <v>0</v>
      </c>
      <c r="AW1537" s="568" t="b">
        <f t="shared" si="382"/>
        <v>0</v>
      </c>
      <c r="AX1537" s="30"/>
      <c r="AY1537" s="594" t="b">
        <f t="shared" si="383"/>
        <v>0</v>
      </c>
      <c r="AZ1537" s="531"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3" t="b">
        <f>OR(BZ1530,Y1537=EUconst_NA)</f>
        <v>1</v>
      </c>
    </row>
    <row r="1538" spans="1:78" s="142" customFormat="1" ht="12.75" hidden="1" customHeight="1" thickBot="1">
      <c r="A1538" s="808"/>
      <c r="B1538" s="166"/>
      <c r="C1538" s="777" t="s">
        <v>454</v>
      </c>
      <c r="D1538" s="512" t="str">
        <f>Translations!$B$647</f>
        <v>Netvar. BioC:</v>
      </c>
      <c r="E1538" s="513"/>
      <c r="F1538" s="597"/>
      <c r="G1538" s="1532" t="str">
        <f t="shared" si="378"/>
        <v/>
      </c>
      <c r="H1538" s="1533"/>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0"/>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0"/>
      <c r="AC1538" s="603" t="b">
        <f>AND(AC1530,Y1538&lt;&gt;EUconst_NA)</f>
        <v>0</v>
      </c>
      <c r="AD1538" s="30"/>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0"/>
      <c r="AV1538" s="613" t="b">
        <f t="shared" si="381"/>
        <v>0</v>
      </c>
      <c r="AW1538" s="614" t="b">
        <f t="shared" si="382"/>
        <v>0</v>
      </c>
      <c r="AX1538" s="30"/>
      <c r="AY1538" s="579" t="b">
        <f t="shared" si="383"/>
        <v>0</v>
      </c>
      <c r="AZ1538" s="580"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80" t="b">
        <f>OR(BZ1530,Y1538=EUconst_NA)</f>
        <v>1</v>
      </c>
    </row>
    <row r="1539" spans="1:78" s="142" customFormat="1" ht="4.5" hidden="1" customHeight="1">
      <c r="A1539" s="808"/>
      <c r="B1539" s="166"/>
      <c r="C1539" s="166"/>
      <c r="D1539" s="180"/>
      <c r="O1539" s="733"/>
      <c r="P1539" s="33"/>
      <c r="Q1539" s="33"/>
      <c r="R1539" s="33"/>
      <c r="S1539" s="174"/>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hidden="1" customHeight="1">
      <c r="A1540" s="808"/>
      <c r="B1540" s="166"/>
      <c r="C1540" s="166"/>
      <c r="D1540" s="1558" t="str">
        <f>Translations!$B$674</f>
        <v>Pakopos galioja nuo:</v>
      </c>
      <c r="E1540" s="1558"/>
      <c r="F1540" s="1559"/>
      <c r="G1540" s="1052"/>
      <c r="H1540" s="615" t="str">
        <f>Translations!$B$675</f>
        <v>iki:</v>
      </c>
      <c r="I1540" s="1052"/>
      <c r="J1540" s="1536" t="str">
        <f>Translations!$B$676</f>
        <v>Atliekų katalogo numeris (jeigu taikytina):</v>
      </c>
      <c r="K1540" s="1537"/>
      <c r="L1540" s="1537"/>
      <c r="M1540" s="1538"/>
      <c r="N1540" s="1289"/>
      <c r="O1540" s="733"/>
      <c r="P1540" s="33"/>
      <c r="Q1540" s="33"/>
      <c r="R1540" s="33"/>
      <c r="S1540" s="1290"/>
      <c r="T1540" s="492"/>
      <c r="U1540" s="492"/>
      <c r="V1540" s="48" t="b">
        <f>IF(V1530="",FALSE,INDEX(CNTR_IsWaste,MATCH(V1530,MSParameters!$A$218:$A$376,0)))</f>
        <v>0</v>
      </c>
      <c r="W1540" s="1290"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4.5" hidden="1" customHeight="1">
      <c r="A1541" s="808"/>
      <c r="B1541" s="166"/>
      <c r="C1541" s="166"/>
      <c r="D1541" s="615"/>
      <c r="E1541" s="495"/>
      <c r="F1541" s="495"/>
      <c r="G1541" s="495"/>
      <c r="H1541" s="495"/>
      <c r="I1541" s="495"/>
      <c r="J1541" s="495"/>
      <c r="K1541" s="495"/>
      <c r="L1541" s="495"/>
      <c r="M1541" s="495"/>
      <c r="N1541" s="495"/>
      <c r="O1541" s="733"/>
      <c r="P1541" s="33"/>
      <c r="Q1541" s="33"/>
      <c r="R1541" s="33"/>
      <c r="S1541" s="174"/>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hidden="1" customHeight="1">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3"/>
      <c r="Q1542" s="33"/>
      <c r="R1542" s="33"/>
      <c r="S1542" s="174"/>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hidden="1" customHeight="1">
      <c r="A1543" s="815"/>
      <c r="D1543" s="180"/>
      <c r="O1543" s="573"/>
      <c r="P1543" s="497"/>
      <c r="Q1543" s="497"/>
      <c r="R1543" s="497"/>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hidden="1">
      <c r="A1544" s="815"/>
      <c r="D1544" s="1534" t="str">
        <f>Translations!$B$160</f>
        <v>Pastabos:</v>
      </c>
      <c r="E1544" s="1535"/>
      <c r="F1544" s="1539"/>
      <c r="G1544" s="1540"/>
      <c r="H1544" s="1540"/>
      <c r="I1544" s="1540"/>
      <c r="J1544" s="1540"/>
      <c r="K1544" s="1540"/>
      <c r="L1544" s="1540"/>
      <c r="M1544" s="1540"/>
      <c r="N1544" s="1541"/>
      <c r="O1544" s="573"/>
      <c r="P1544" s="497"/>
      <c r="Q1544" s="497"/>
      <c r="R1544" s="497"/>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c r="A1545" s="808"/>
      <c r="B1545" s="495"/>
      <c r="C1545" s="499"/>
      <c r="D1545" s="500"/>
      <c r="E1545" s="501"/>
      <c r="F1545" s="499"/>
      <c r="G1545" s="502"/>
      <c r="H1545" s="502"/>
      <c r="I1545" s="502"/>
      <c r="J1545" s="502"/>
      <c r="K1545" s="502"/>
      <c r="L1545" s="502"/>
      <c r="M1545" s="502"/>
      <c r="N1545" s="502"/>
      <c r="O1545" s="740"/>
      <c r="P1545" s="494"/>
      <c r="Q1545" s="494"/>
      <c r="R1545" s="494"/>
      <c r="S1545" s="58"/>
      <c r="T1545" s="58"/>
      <c r="U1545" s="498"/>
      <c r="V1545" s="58"/>
      <c r="W1545" s="58"/>
      <c r="X1545" s="498"/>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3.75" hidden="1" customHeight="1" thickBot="1">
      <c r="A1546" s="813"/>
      <c r="B1546" s="495"/>
      <c r="C1546" s="495"/>
      <c r="D1546" s="180"/>
      <c r="E1546" s="496"/>
      <c r="F1546" s="495"/>
      <c r="G1546" s="487"/>
      <c r="H1546" s="487"/>
      <c r="I1546" s="487"/>
      <c r="J1546" s="487"/>
      <c r="K1546" s="495"/>
      <c r="L1546" s="487"/>
      <c r="M1546" s="487"/>
      <c r="N1546" s="487"/>
      <c r="O1546" s="740"/>
      <c r="P1546" s="494"/>
      <c r="Q1546" s="494"/>
      <c r="R1546" s="494"/>
      <c r="S1546" s="23"/>
      <c r="T1546" s="27" t="str">
        <f>IF(ISBLANK(E1547),"",MATCH(E1547,CNTR_SourceStreamNames,0))</f>
        <v/>
      </c>
      <c r="U1546" s="618"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1"/>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3" t="s">
        <v>262</v>
      </c>
    </row>
    <row r="1547" spans="1:78" s="142" customFormat="1" ht="15" hidden="1" customHeight="1" thickBot="1">
      <c r="A1547" s="869" t="str">
        <f>IF(E1547="","","PRINT")</f>
        <v/>
      </c>
      <c r="B1547" s="166"/>
      <c r="C1547" s="617">
        <f>C1520+1</f>
        <v>56</v>
      </c>
      <c r="D1547" s="166"/>
      <c r="E1547" s="1542"/>
      <c r="F1547" s="1543"/>
      <c r="G1547" s="1543"/>
      <c r="H1547" s="1543"/>
      <c r="I1547" s="1543"/>
      <c r="J1547" s="1544"/>
      <c r="K1547" s="1545" t="str">
        <f>IF(E1548="","",INDEX(EUwideConstants!$F$353:$F$394,MATCH(E1548,EUConst_TierActivityListNames,0)))</f>
        <v/>
      </c>
      <c r="L1547" s="1546"/>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3"/>
      <c r="T1547" s="509" t="s">
        <v>393</v>
      </c>
      <c r="U1547" s="23"/>
      <c r="V1547" s="78"/>
      <c r="W1547" s="56"/>
      <c r="X1547" s="58"/>
      <c r="Y1547" s="58"/>
      <c r="Z1547" s="58"/>
      <c r="AA1547" s="58"/>
      <c r="AB1547" s="58"/>
      <c r="AC1547" s="58"/>
      <c r="AD1547" s="58"/>
      <c r="AE1547" s="58"/>
      <c r="AF1547" s="58"/>
      <c r="AG1547" s="58"/>
      <c r="AH1547" s="58"/>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6"/>
      <c r="BZ1547" s="619" t="b">
        <f>CNTR_CalcRelevant=EUconst_NotRelevant</f>
        <v>0</v>
      </c>
    </row>
    <row r="1548" spans="1:78" s="142" customFormat="1" ht="15" hidden="1" customHeight="1" thickBot="1">
      <c r="A1548" s="808"/>
      <c r="B1548" s="166"/>
      <c r="C1548" s="166"/>
      <c r="D1548" s="166"/>
      <c r="E1548" s="1547" t="str">
        <f>IF(ISBLANK(E1547),"",IF(INDEX(B_InstallationDescription!$E$71:$E$145,MATCH(U1546,B_InstallationDescription!$D$71:$D$145,0))&gt;0,INDEX(B_InstallationDescription!$E$71:$E$145,MATCH(U1546,B_InstallationDescription!$D$71:$D$145,0)),""))</f>
        <v/>
      </c>
      <c r="F1548" s="1548"/>
      <c r="G1548" s="1548"/>
      <c r="H1548" s="1548"/>
      <c r="I1548" s="1548"/>
      <c r="J1548" s="1549"/>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4"/>
      <c r="AH1548" s="30"/>
      <c r="AI1548" s="30"/>
      <c r="AJ1548" s="504"/>
      <c r="AK1548" s="504"/>
      <c r="AL1548" s="342"/>
      <c r="AM1548" s="27" t="s">
        <v>308</v>
      </c>
      <c r="AN1548" s="505"/>
      <c r="AO1548" s="505"/>
      <c r="AP1548" s="30"/>
      <c r="AQ1548" s="30"/>
      <c r="AR1548" s="30"/>
      <c r="AS1548" s="30"/>
      <c r="AT1548" s="30"/>
      <c r="AU1548" s="30"/>
      <c r="AV1548" s="27" t="s">
        <v>315</v>
      </c>
      <c r="AW1548" s="30"/>
      <c r="AX1548" s="492"/>
      <c r="AY1548" s="30"/>
      <c r="AZ1548" s="30"/>
      <c r="BA1548" s="30"/>
      <c r="BB1548" s="27" t="s">
        <v>219</v>
      </c>
      <c r="BC1548" s="30"/>
      <c r="BD1548" s="30"/>
      <c r="BE1548" s="30"/>
      <c r="BF1548" s="30"/>
      <c r="BG1548" s="27"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0"/>
      <c r="BZ1548" s="30"/>
    </row>
    <row r="1549" spans="1:78" s="142" customFormat="1" ht="5.0999999999999996" hidden="1" customHeight="1">
      <c r="A1549" s="808"/>
      <c r="B1549" s="166"/>
      <c r="C1549" s="166"/>
      <c r="D1549" s="166"/>
      <c r="E1549" s="166"/>
      <c r="F1549" s="166"/>
      <c r="G1549" s="166"/>
      <c r="M1549" s="143"/>
      <c r="N1549" s="143"/>
      <c r="O1549" s="733"/>
      <c r="P1549" s="33"/>
      <c r="Q1549" s="33"/>
      <c r="R1549" s="33"/>
      <c r="S1549" s="23"/>
      <c r="T1549" s="23"/>
      <c r="U1549" s="23"/>
      <c r="V1549" s="78"/>
      <c r="W1549" s="30"/>
      <c r="X1549" s="30"/>
      <c r="Y1549" s="494"/>
      <c r="Z1549" s="30"/>
      <c r="AA1549" s="30"/>
      <c r="AB1549" s="30"/>
      <c r="AC1549" s="30"/>
      <c r="AD1549" s="30"/>
      <c r="AE1549" s="30"/>
      <c r="AF1549" s="58"/>
      <c r="AG1549" s="30"/>
      <c r="AH1549" s="30"/>
      <c r="AI1549" s="30"/>
      <c r="AJ1549" s="504"/>
      <c r="AK1549" s="504"/>
      <c r="AL1549" s="342"/>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hidden="1" customHeight="1" thickBot="1">
      <c r="A1550" s="808"/>
      <c r="B1550" s="166"/>
      <c r="C1550" s="166"/>
      <c r="D1550" s="166"/>
      <c r="E1550" s="1550" t="str">
        <f>IF(E1547="","",IF(T1548=TRUE,HYPERLINK("#JUMP_14",EUconst_MsgGoOnPFC),HYPERLINK("#JUMP_E_8",EUconst_FurtherGuidancePoint1)))</f>
        <v/>
      </c>
      <c r="F1550" s="1550"/>
      <c r="G1550" s="1550"/>
      <c r="H1550" s="1550"/>
      <c r="I1550" s="1550"/>
      <c r="J1550" s="1550"/>
      <c r="K1550" s="1550"/>
      <c r="L1550" s="1550"/>
      <c r="M1550" s="1550"/>
      <c r="N1550" s="143"/>
      <c r="O1550" s="733"/>
      <c r="P1550" s="33"/>
      <c r="Q1550" s="352" t="str">
        <f>EUconst_SumNonSustBioCO2 &amp; "_" &amp; K1547</f>
        <v>SUM_bioNonSustCO2_</v>
      </c>
      <c r="R1550" s="707"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4"/>
      <c r="AK1550" s="504"/>
      <c r="AL1550" s="342"/>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4.5" hidden="1" customHeight="1">
      <c r="A1551" s="808"/>
      <c r="B1551" s="166"/>
      <c r="C1551" s="166"/>
      <c r="D1551" s="166"/>
      <c r="E1551" s="166"/>
      <c r="F1551" s="166"/>
      <c r="G1551" s="166"/>
      <c r="M1551" s="143"/>
      <c r="N1551" s="143"/>
      <c r="O1551" s="733"/>
      <c r="P1551" s="23"/>
      <c r="Q1551" s="23"/>
      <c r="R1551" s="23"/>
      <c r="S1551" s="23"/>
      <c r="T1551" s="23"/>
      <c r="U1551" s="23"/>
      <c r="V1551" s="30"/>
      <c r="W1551" s="30"/>
      <c r="X1551" s="30"/>
      <c r="Y1551" s="494"/>
      <c r="Z1551" s="30"/>
      <c r="AA1551" s="30"/>
      <c r="AB1551" s="30"/>
      <c r="AC1551" s="30"/>
      <c r="AD1551" s="30"/>
      <c r="AE1551" s="30"/>
      <c r="AF1551" s="58"/>
      <c r="AG1551" s="30"/>
      <c r="AH1551" s="30"/>
      <c r="AI1551" s="30"/>
      <c r="AJ1551" s="504"/>
      <c r="AK1551" s="504"/>
      <c r="AL1551" s="342"/>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hidden="1" customHeight="1" thickBot="1">
      <c r="A1552" s="808"/>
      <c r="B1552" s="166"/>
      <c r="C1552" s="814" t="s">
        <v>4</v>
      </c>
      <c r="D1552" s="512" t="str">
        <f>Translations!$B$622</f>
        <v>VD:</v>
      </c>
      <c r="E1552" s="1560" t="str">
        <f>Translations!$B$667</f>
        <v>Ar veiklos duomenys gaunami sudedant išmatuotus kiekius (t. y. ne atliekant nuolatinius matavimus)?</v>
      </c>
      <c r="F1552" s="1560"/>
      <c r="G1552" s="1560"/>
      <c r="H1552" s="1560"/>
      <c r="I1552" s="1560"/>
      <c r="J1552" s="1560"/>
      <c r="K1552" s="1560"/>
      <c r="L1552" s="1179"/>
      <c r="M1552" s="507"/>
      <c r="O1552" s="733"/>
      <c r="P1552" s="23"/>
      <c r="Q1552" s="23"/>
      <c r="R1552" s="23"/>
      <c r="S1552" s="23"/>
      <c r="T1552" s="23"/>
      <c r="U1552" s="23"/>
      <c r="V1552" s="30"/>
      <c r="W1552" s="30"/>
      <c r="X1552" s="30"/>
      <c r="Y1552" s="494"/>
      <c r="Z1552" s="30"/>
      <c r="AA1552" s="30"/>
      <c r="AB1552" s="30"/>
      <c r="AC1552" s="1172" t="b">
        <f>AND(E1547&lt;&gt;"",T1548&lt;&gt;TRUE)</f>
        <v>0</v>
      </c>
      <c r="AD1552" s="30"/>
      <c r="AE1552" s="30"/>
      <c r="AF1552" s="58"/>
      <c r="AG1552" s="30"/>
      <c r="AH1552" s="30"/>
      <c r="AI1552" s="30"/>
      <c r="AJ1552" s="504"/>
      <c r="AK1552" s="504"/>
      <c r="AL1552" s="342"/>
      <c r="AM1552" s="30"/>
      <c r="AN1552" s="30"/>
      <c r="AO1552" s="30"/>
      <c r="AP1552" s="30"/>
      <c r="AQ1552" s="30"/>
      <c r="AR1552" s="30"/>
      <c r="AS1552" s="30"/>
      <c r="AT1552" s="1172"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2" t="b">
        <f>OR(CNTR_CalcRelevant=EUconst_NotRelevant,AND(COUNTA(CNTR_ListRelevantSections)&gt;0,OR(T1548=TRUE,E1547="")))</f>
        <v>1</v>
      </c>
    </row>
    <row r="1553" spans="1:78" s="142" customFormat="1" ht="5.0999999999999996" hidden="1" customHeight="1">
      <c r="A1553" s="808"/>
      <c r="B1553" s="166"/>
      <c r="C1553" s="166"/>
      <c r="D1553" s="166"/>
      <c r="E1553" s="166"/>
      <c r="F1553" s="166"/>
      <c r="G1553" s="166"/>
      <c r="H1553" s="495"/>
      <c r="I1553" s="495"/>
      <c r="J1553" s="495"/>
      <c r="K1553" s="495"/>
      <c r="L1553" s="495"/>
      <c r="M1553" s="507"/>
      <c r="O1553" s="733"/>
      <c r="P1553" s="23"/>
      <c r="Q1553" s="23"/>
      <c r="R1553" s="23"/>
      <c r="S1553" s="23"/>
      <c r="T1553" s="23"/>
      <c r="U1553" s="23"/>
      <c r="V1553" s="30"/>
      <c r="W1553" s="30"/>
      <c r="X1553" s="30"/>
      <c r="Y1553" s="494"/>
      <c r="Z1553" s="30"/>
      <c r="AA1553" s="30"/>
      <c r="AB1553" s="30"/>
      <c r="AC1553" s="492"/>
      <c r="AD1553" s="30"/>
      <c r="AE1553" s="30"/>
      <c r="AF1553" s="58"/>
      <c r="AG1553" s="30"/>
      <c r="AH1553" s="30"/>
      <c r="AI1553" s="30"/>
      <c r="AJ1553" s="504"/>
      <c r="AK1553" s="504"/>
      <c r="AL1553" s="342"/>
      <c r="AM1553" s="30"/>
      <c r="AN1553" s="30"/>
      <c r="AO1553" s="30"/>
      <c r="AP1553" s="30"/>
      <c r="AQ1553" s="30"/>
      <c r="AR1553" s="30"/>
      <c r="AS1553" s="30"/>
      <c r="AT1553" s="492"/>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2"/>
    </row>
    <row r="1554" spans="1:78" s="142" customFormat="1" ht="12.75" hidden="1" customHeight="1" thickBot="1">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3"/>
      <c r="Q1554" s="23"/>
      <c r="R1554" s="23"/>
      <c r="S1554" s="23"/>
      <c r="T1554" s="23"/>
      <c r="U1554" s="23"/>
      <c r="V1554" s="30"/>
      <c r="W1554" s="30"/>
      <c r="X1554" s="30"/>
      <c r="Y1554" s="494"/>
      <c r="Z1554" s="30"/>
      <c r="AA1554" s="30"/>
      <c r="AB1554" s="30"/>
      <c r="AC1554" s="1172" t="b">
        <f>AC1552</f>
        <v>0</v>
      </c>
      <c r="AD1554" s="30"/>
      <c r="AE1554" s="30"/>
      <c r="AF1554" s="58"/>
      <c r="AG1554" s="30"/>
      <c r="AH1554" s="30"/>
      <c r="AI1554" s="30"/>
      <c r="AJ1554" s="504"/>
      <c r="AK1554" s="504"/>
      <c r="AL1554" s="342"/>
      <c r="AM1554" s="30"/>
      <c r="AN1554" s="30"/>
      <c r="AO1554" s="30"/>
      <c r="AP1554" s="30"/>
      <c r="AQ1554" s="30"/>
      <c r="AR1554" s="30"/>
      <c r="AS1554" s="30"/>
      <c r="AT1554" s="1172"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2" t="b">
        <f>OR(BZ1552,AND(NOT(ISBLANK(L1552)),L1552=FALSE))</f>
        <v>1</v>
      </c>
    </row>
    <row r="1555" spans="1:78" s="142" customFormat="1" ht="5.0999999999999996" hidden="1" customHeight="1">
      <c r="A1555" s="808"/>
      <c r="B1555" s="166"/>
      <c r="C1555" s="166"/>
      <c r="D1555" s="166"/>
      <c r="E1555" s="166"/>
      <c r="F1555" s="166"/>
      <c r="G1555" s="166"/>
      <c r="M1555" s="143"/>
      <c r="N1555" s="143"/>
      <c r="O1555" s="733"/>
      <c r="P1555" s="23"/>
      <c r="Q1555" s="23"/>
      <c r="R1555" s="23"/>
      <c r="S1555" s="23"/>
      <c r="T1555" s="23"/>
      <c r="U1555" s="23"/>
      <c r="V1555" s="30"/>
      <c r="W1555" s="30"/>
      <c r="X1555" s="30"/>
      <c r="Y1555" s="494"/>
      <c r="Z1555" s="30"/>
      <c r="AA1555" s="30"/>
      <c r="AB1555" s="30"/>
      <c r="AC1555" s="30"/>
      <c r="AD1555" s="30"/>
      <c r="AE1555" s="30"/>
      <c r="AF1555" s="58"/>
      <c r="AG1555" s="30"/>
      <c r="AH1555" s="30"/>
      <c r="AI1555" s="30"/>
      <c r="AJ1555" s="504"/>
      <c r="AK1555" s="504"/>
      <c r="AL1555" s="342"/>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hidden="1" customHeight="1" thickBot="1">
      <c r="A1556" s="808"/>
      <c r="B1556" s="166"/>
      <c r="C1556" s="166"/>
      <c r="D1556" s="166"/>
      <c r="E1556" s="166"/>
      <c r="F1556" s="506" t="str">
        <f>Translations!$B$333</f>
        <v>Pakopa</v>
      </c>
      <c r="G1556" s="1557" t="str">
        <f>Translations!$B$672</f>
        <v>pakopos aprašas</v>
      </c>
      <c r="H1556" s="1557"/>
      <c r="I1556" s="1555" t="str">
        <f>Translations!$B$158</f>
        <v>Vienetas</v>
      </c>
      <c r="J1556" s="1555"/>
      <c r="K1556" s="1555" t="str">
        <f>Translations!$B$673</f>
        <v>Vertė</v>
      </c>
      <c r="L1556" s="1555"/>
      <c r="M1556" s="507" t="str">
        <f>Translations!$B$610</f>
        <v>klaida</v>
      </c>
      <c r="O1556" s="733"/>
      <c r="P1556" s="508"/>
      <c r="Q1556" s="352" t="str">
        <f>EUconst_SumEnergyIN &amp; "_" &amp; K1547</f>
        <v>SUM_EnergyIN_</v>
      </c>
      <c r="R1556" s="399" t="str">
        <f>IF(OR(K1547="",T1548)=TRUE,"",INDEX(BC1562:BE1562,MATCH(K1547,BC1557:BE1557,0)))</f>
        <v/>
      </c>
      <c r="S1556" s="30"/>
      <c r="T1556" s="489"/>
      <c r="U1556" s="30"/>
      <c r="V1556" s="509" t="s">
        <v>303</v>
      </c>
      <c r="W1556" s="30"/>
      <c r="X1556" s="30"/>
      <c r="Y1556" s="494" t="s">
        <v>566</v>
      </c>
      <c r="Z1556" s="494" t="s">
        <v>318</v>
      </c>
      <c r="AA1556" s="30"/>
      <c r="AB1556" s="30"/>
      <c r="AC1556" s="505" t="s">
        <v>309</v>
      </c>
      <c r="AD1556" s="30"/>
      <c r="AE1556" s="30"/>
      <c r="AF1556" s="492" t="s">
        <v>305</v>
      </c>
      <c r="AG1556" s="492" t="s">
        <v>306</v>
      </c>
      <c r="AH1556" s="494" t="s">
        <v>304</v>
      </c>
      <c r="AI1556" s="504" t="s">
        <v>307</v>
      </c>
      <c r="AJ1556" s="504" t="s">
        <v>567</v>
      </c>
      <c r="AK1556" s="510" t="s">
        <v>311</v>
      </c>
      <c r="AL1556" s="342"/>
      <c r="AM1556" s="30"/>
      <c r="AN1556" s="492" t="s">
        <v>305</v>
      </c>
      <c r="AO1556" s="492" t="s">
        <v>306</v>
      </c>
      <c r="AP1556" s="511" t="s">
        <v>310</v>
      </c>
      <c r="AQ1556" s="504" t="s">
        <v>569</v>
      </c>
      <c r="AR1556" s="504" t="s">
        <v>568</v>
      </c>
      <c r="AS1556" s="510" t="s">
        <v>609</v>
      </c>
      <c r="AT1556" s="510" t="s">
        <v>609</v>
      </c>
      <c r="AU1556" s="30"/>
      <c r="AV1556" s="492"/>
      <c r="AW1556" s="492"/>
      <c r="AX1556" s="492" t="s">
        <v>321</v>
      </c>
      <c r="AY1556" s="492"/>
      <c r="AZ1556" s="492"/>
      <c r="BA1556" s="492"/>
      <c r="BB1556" s="492"/>
      <c r="BC1556" s="492"/>
      <c r="BD1556" s="492"/>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3" t="s">
        <v>262</v>
      </c>
    </row>
    <row r="1557" spans="1:78" s="142" customFormat="1" ht="12.75" hidden="1" customHeight="1" thickBot="1">
      <c r="A1557" s="808"/>
      <c r="B1557" s="166"/>
      <c r="C1557" s="777" t="s">
        <v>196</v>
      </c>
      <c r="D1557" s="512" t="str">
        <f>Translations!$B$622</f>
        <v>VD:</v>
      </c>
      <c r="E1557" s="513"/>
      <c r="F1557" s="402"/>
      <c r="G1557" s="1532" t="str">
        <f>IF(OR(ISBLANK(F1557),F1557=EUconst_NoTier),"",IF(Z1557=0,EUconst_NA,IF(ISERROR(Z1557),"",Z1557)))</f>
        <v/>
      </c>
      <c r="H1557" s="1533"/>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0"/>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0"/>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0"/>
      <c r="AV1557" s="492" t="s">
        <v>314</v>
      </c>
      <c r="AW1557" s="492" t="s">
        <v>319</v>
      </c>
      <c r="AX1557" s="524"/>
      <c r="AY1557" s="30" t="s">
        <v>542</v>
      </c>
      <c r="AZ1557" s="30"/>
      <c r="BA1557" s="30"/>
      <c r="BB1557" s="504"/>
      <c r="BC1557" s="493" t="str">
        <f>EUconst_Fuel</f>
        <v>Degimas</v>
      </c>
      <c r="BD1557" s="493" t="str">
        <f>EUconst_ProcessCarbonate</f>
        <v>Proceso metu išsiskiriančios ŠESD</v>
      </c>
      <c r="BE1557" s="493"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4" t="b">
        <f>BZ1552</f>
        <v>1</v>
      </c>
    </row>
    <row r="1558" spans="1:78" s="142" customFormat="1" ht="4.5" hidden="1" customHeight="1">
      <c r="A1558" s="808"/>
      <c r="B1558" s="166"/>
      <c r="C1558" s="814"/>
      <c r="D1558" s="306"/>
      <c r="F1558" s="143"/>
      <c r="G1558" s="143"/>
      <c r="H1558" s="143" t="s">
        <v>236</v>
      </c>
      <c r="I1558" s="525"/>
      <c r="J1558" s="525"/>
      <c r="K1558" s="143"/>
      <c r="L1558" s="143"/>
      <c r="M1558" s="710"/>
      <c r="O1558" s="733"/>
      <c r="P1558" s="33"/>
      <c r="Q1558" s="33"/>
      <c r="R1558" s="33"/>
      <c r="S1558" s="30"/>
      <c r="T1558" s="155"/>
      <c r="U1558" s="497"/>
      <c r="V1558" s="30"/>
      <c r="W1558" s="30"/>
      <c r="X1558" s="497"/>
      <c r="Y1558" s="526"/>
      <c r="Z1558" s="30"/>
      <c r="AA1558" s="30"/>
      <c r="AB1558" s="30"/>
      <c r="AC1558" s="30"/>
      <c r="AD1558" s="30"/>
      <c r="AE1558" s="30"/>
      <c r="AF1558" s="30"/>
      <c r="AG1558" s="30"/>
      <c r="AH1558" s="30"/>
      <c r="AI1558" s="30"/>
      <c r="AJ1558" s="30"/>
      <c r="AK1558" s="30"/>
      <c r="AL1558" s="342"/>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3"/>
    </row>
    <row r="1559" spans="1:78" s="142" customFormat="1" ht="12.75" hidden="1" customHeight="1" thickBot="1">
      <c r="A1559" s="808"/>
      <c r="B1559" s="166"/>
      <c r="C1559" s="814" t="s">
        <v>197</v>
      </c>
      <c r="D1559" s="512" t="str">
        <f>Translations!$B$634</f>
        <v>(prelim.) ITF:</v>
      </c>
      <c r="E1559" s="513"/>
      <c r="F1559" s="527"/>
      <c r="G1559" s="1532" t="str">
        <f t="shared" ref="G1559:G1565" si="385">IF(OR(ISBLANK(F1559),F1559=EUconst_NoTier),"",IF(Z1559=0,EUconst_NotApplicable,IF(ISERROR(Z1559),"",Z1559)))</f>
        <v/>
      </c>
      <c r="H1559" s="1556"/>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3"/>
      <c r="Q1559" s="33"/>
      <c r="R1559" s="33"/>
      <c r="S1559" s="30"/>
      <c r="T1559" s="530" t="str">
        <f>EUconst_CNTR_EF&amp;E1548</f>
        <v>EF_</v>
      </c>
      <c r="U1559" s="497"/>
      <c r="V1559" s="531" t="str">
        <f>V1557</f>
        <v/>
      </c>
      <c r="W1559" s="30"/>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0"/>
      <c r="AC1559" s="535" t="b">
        <f>AND(AC1557,Y1559&lt;&gt;EUconst_NA)</f>
        <v>0</v>
      </c>
      <c r="AD1559" s="30"/>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0"/>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0"/>
      <c r="BA1559" s="30"/>
      <c r="BB1559" s="547" t="s">
        <v>594</v>
      </c>
      <c r="BC1559" s="546" t="str">
        <f>IF(K1547=BC1557,AR1557*IF(AJ1559=EUconst_tCO2pTJ,(AR1560/1000),1)*AR1559*AR1561*AR1565,"")</f>
        <v/>
      </c>
      <c r="BD1559" s="524" t="str">
        <f>IF(K1547=BD1557,AR1557*AR1559*AR1562*AR1565,"")</f>
        <v/>
      </c>
      <c r="BE1559" s="523"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1" t="b">
        <f>OR(BZ1557,Y1559=EUconst_NA)</f>
        <v>1</v>
      </c>
    </row>
    <row r="1560" spans="1:78" s="142" customFormat="1" ht="12.75" hidden="1" customHeight="1" thickBot="1">
      <c r="A1560" s="808"/>
      <c r="B1560" s="166"/>
      <c r="C1560" s="814" t="s">
        <v>198</v>
      </c>
      <c r="D1560" s="512" t="str">
        <f>Translations!$B$636</f>
        <v>GŠV:</v>
      </c>
      <c r="E1560" s="513"/>
      <c r="F1560" s="548"/>
      <c r="G1560" s="1532" t="str">
        <f t="shared" si="385"/>
        <v/>
      </c>
      <c r="H1560" s="1533"/>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3"/>
      <c r="Q1560" s="33"/>
      <c r="R1560" s="33"/>
      <c r="S1560" s="30"/>
      <c r="T1560" s="552" t="str">
        <f>EUconst_CNTR_NCV&amp;E1548</f>
        <v>NCV_</v>
      </c>
      <c r="U1560" s="497"/>
      <c r="V1560" s="553" t="str">
        <f t="shared" ref="V1560:V1565" si="391">V1559</f>
        <v/>
      </c>
      <c r="W1560" s="30"/>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0"/>
      <c r="AC1560" s="557" t="b">
        <f>AND(AC1557,Y1560&lt;&gt;EUconst_NA)</f>
        <v>0</v>
      </c>
      <c r="AD1560" s="30"/>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0"/>
      <c r="AV1560" s="567" t="b">
        <f t="shared" si="388"/>
        <v>0</v>
      </c>
      <c r="AW1560" s="568" t="b">
        <f t="shared" si="389"/>
        <v>0</v>
      </c>
      <c r="AX1560" s="30"/>
      <c r="AY1560" s="553" t="b">
        <f t="shared" si="390"/>
        <v>0</v>
      </c>
      <c r="AZ1560" s="30"/>
      <c r="BA1560" s="30"/>
      <c r="BB1560" s="547" t="s">
        <v>595</v>
      </c>
      <c r="BC1560" s="546" t="str">
        <f>IF(K1547=BC1557,AR1557*IF(AJ1559=EUconst_tCO2pTJ,(AR1560/1000),1)*AR1559*AR1561*AR1564,"")</f>
        <v/>
      </c>
      <c r="BD1560" s="524" t="str">
        <f>IF(K1547=BD1557,AR1557*AR1559*AR1562*AR1564,"")</f>
        <v/>
      </c>
      <c r="BE1560" s="523"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3" t="b">
        <f>OR(BZ1557,Y1560=EUconst_NA)</f>
        <v>1</v>
      </c>
    </row>
    <row r="1561" spans="1:78" s="142" customFormat="1" ht="12.75" hidden="1" customHeight="1" thickBot="1">
      <c r="A1561" s="808"/>
      <c r="B1561" s="166"/>
      <c r="C1561" s="814" t="s">
        <v>199</v>
      </c>
      <c r="D1561" s="512" t="str">
        <f>Translations!$B$638</f>
        <v>OksK:</v>
      </c>
      <c r="E1561" s="513"/>
      <c r="F1561" s="548"/>
      <c r="G1561" s="1532" t="str">
        <f t="shared" si="385"/>
        <v/>
      </c>
      <c r="H1561" s="1533"/>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3"/>
      <c r="Q1561" s="33"/>
      <c r="R1561" s="33"/>
      <c r="S1561" s="30"/>
      <c r="T1561" s="552" t="str">
        <f>EUconst_CNTR_OxidationFactor&amp;E1548</f>
        <v>OxF_</v>
      </c>
      <c r="U1561" s="497"/>
      <c r="V1561" s="553" t="str">
        <f t="shared" si="391"/>
        <v/>
      </c>
      <c r="W1561" s="30"/>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0"/>
      <c r="AC1561" s="557" t="b">
        <f>AND(AC1557,Y1561&lt;&gt;EUconst_NA)</f>
        <v>0</v>
      </c>
      <c r="AD1561" s="30"/>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0"/>
      <c r="AV1561" s="567" t="b">
        <f t="shared" si="388"/>
        <v>0</v>
      </c>
      <c r="AW1561" s="568" t="b">
        <f t="shared" si="389"/>
        <v>0</v>
      </c>
      <c r="AX1561" s="30"/>
      <c r="AY1561" s="594" t="b">
        <f t="shared" si="390"/>
        <v>0</v>
      </c>
      <c r="AZ1561" s="531" t="b">
        <f>AR1561&gt;100%</f>
        <v>0</v>
      </c>
      <c r="BA1561" s="30"/>
      <c r="BB1561" s="547" t="s">
        <v>290</v>
      </c>
      <c r="BC1561" s="546" t="str">
        <f>IF(K1547=BC1557,AR1557*IF(AJ1559=EUconst_tCO2pTJ,(AR1560/1000),1)*AR1559*AR1561*(1-AR1564),"")</f>
        <v/>
      </c>
      <c r="BD1561" s="524" t="str">
        <f>IF(K1547=BD1557,AR1557*AR1559*AR1562*(1-AR1564),"")</f>
        <v/>
      </c>
      <c r="BE1561" s="523"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3" t="b">
        <f>OR(BZ1557,Y1561=EUconst_NA)</f>
        <v>1</v>
      </c>
    </row>
    <row r="1562" spans="1:78" s="142" customFormat="1" ht="12.75" hidden="1" customHeight="1" thickBot="1">
      <c r="A1562" s="808"/>
      <c r="B1562" s="166"/>
      <c r="C1562" s="814" t="s">
        <v>200</v>
      </c>
      <c r="D1562" s="512" t="str">
        <f>Translations!$B$639</f>
        <v>KonvK:</v>
      </c>
      <c r="E1562" s="513"/>
      <c r="F1562" s="548"/>
      <c r="G1562" s="1532" t="str">
        <f t="shared" si="385"/>
        <v/>
      </c>
      <c r="H1562" s="1533"/>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3"/>
      <c r="Q1562" s="33"/>
      <c r="R1562" s="33"/>
      <c r="S1562" s="30"/>
      <c r="T1562" s="552" t="str">
        <f>EUconst_CNTR_ConversionFactor&amp;E1548</f>
        <v>ConvF_</v>
      </c>
      <c r="U1562" s="497"/>
      <c r="V1562" s="553" t="str">
        <f t="shared" si="391"/>
        <v/>
      </c>
      <c r="W1562" s="30"/>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0"/>
      <c r="AC1562" s="557" t="b">
        <f>AND(AC1557,Y1562&lt;&gt;EUconst_NA)</f>
        <v>0</v>
      </c>
      <c r="AD1562" s="30"/>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0"/>
      <c r="AV1562" s="567" t="b">
        <f t="shared" si="388"/>
        <v>0</v>
      </c>
      <c r="AW1562" s="568" t="b">
        <f t="shared" si="389"/>
        <v>0</v>
      </c>
      <c r="AX1562" s="30"/>
      <c r="AY1562" s="594" t="b">
        <f t="shared" si="390"/>
        <v>0</v>
      </c>
      <c r="AZ1562" s="580" t="b">
        <f>AR1562&gt;100%</f>
        <v>0</v>
      </c>
      <c r="BA1562" s="30"/>
      <c r="BB1562" s="578" t="s">
        <v>487</v>
      </c>
      <c r="BC1562" s="579">
        <f>AR1557*AR1560/1000*(1-AR1564)</f>
        <v>0</v>
      </c>
      <c r="BD1562" s="580">
        <f>BC1562</f>
        <v>0</v>
      </c>
      <c r="BE1562" s="581">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3" t="b">
        <f>OR(BZ1557,Y1562=EUconst_NA)</f>
        <v>1</v>
      </c>
    </row>
    <row r="1563" spans="1:78" s="142" customFormat="1" ht="12.75" hidden="1" customHeight="1" thickBot="1">
      <c r="A1563" s="808"/>
      <c r="B1563" s="166"/>
      <c r="C1563" s="814" t="s">
        <v>329</v>
      </c>
      <c r="D1563" s="512" t="str">
        <f>Translations!$B$640</f>
        <v>AnglK:</v>
      </c>
      <c r="E1563" s="513"/>
      <c r="F1563" s="548"/>
      <c r="G1563" s="1532" t="str">
        <f t="shared" si="385"/>
        <v/>
      </c>
      <c r="H1563" s="1533"/>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3"/>
      <c r="Q1563" s="33"/>
      <c r="R1563" s="33"/>
      <c r="S1563" s="30"/>
      <c r="T1563" s="552" t="str">
        <f>EUconst_CNTR_CarbonContent&amp;E1548</f>
        <v>CarbC_</v>
      </c>
      <c r="U1563" s="497"/>
      <c r="V1563" s="553" t="str">
        <f t="shared" si="391"/>
        <v/>
      </c>
      <c r="W1563" s="30"/>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0"/>
      <c r="AC1563" s="557" t="b">
        <f>AND(AC1557,Y1563&lt;&gt;EUconst_NA)</f>
        <v>0</v>
      </c>
      <c r="AD1563" s="30"/>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0"/>
      <c r="AV1563" s="567" t="b">
        <f t="shared" si="388"/>
        <v>0</v>
      </c>
      <c r="AW1563" s="568" t="b">
        <f t="shared" si="389"/>
        <v>0</v>
      </c>
      <c r="AX1563" s="546" t="b">
        <f>OR(AND(AJ1557=EUconst_kNm3,AJ1563=EUconst_tCpt),AND(AJ1557=EUconst_t,AJ1563=EUconst_tCpkNm3))</f>
        <v>0</v>
      </c>
      <c r="AY1563" s="553" t="b">
        <f t="shared" si="390"/>
        <v>0</v>
      </c>
      <c r="AZ1563" s="30"/>
      <c r="BA1563" s="30"/>
      <c r="BB1563" s="578" t="s">
        <v>488</v>
      </c>
      <c r="BC1563" s="579">
        <f>AR1557*AR1560/1000*AR1564</f>
        <v>0</v>
      </c>
      <c r="BD1563" s="580">
        <f>BC1563</f>
        <v>0</v>
      </c>
      <c r="BE1563" s="581">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3" t="b">
        <f>OR(BZ1557,Y1563=EUconst_NA)</f>
        <v>1</v>
      </c>
    </row>
    <row r="1564" spans="1:78" s="142" customFormat="1" ht="12.75" hidden="1" customHeight="1">
      <c r="A1564" s="808"/>
      <c r="B1564" s="166"/>
      <c r="C1564" s="777" t="s">
        <v>330</v>
      </c>
      <c r="D1564" s="512" t="str">
        <f>Translations!$B$641</f>
        <v>BioC:</v>
      </c>
      <c r="E1564" s="513"/>
      <c r="F1564" s="548"/>
      <c r="G1564" s="1532" t="str">
        <f t="shared" si="385"/>
        <v/>
      </c>
      <c r="H1564" s="1533"/>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0"/>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0"/>
      <c r="AC1564" s="557" t="b">
        <f>AND(AC1557,Y1564&lt;&gt;EUconst_NA)</f>
        <v>0</v>
      </c>
      <c r="AD1564" s="30"/>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0"/>
      <c r="AV1564" s="567" t="b">
        <f t="shared" si="388"/>
        <v>0</v>
      </c>
      <c r="AW1564" s="568" t="b">
        <f t="shared" si="389"/>
        <v>0</v>
      </c>
      <c r="AX1564" s="30"/>
      <c r="AY1564" s="594" t="b">
        <f t="shared" si="390"/>
        <v>0</v>
      </c>
      <c r="AZ1564" s="531"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3" t="b">
        <f>OR(BZ1557,Y1564=EUconst_NA)</f>
        <v>1</v>
      </c>
    </row>
    <row r="1565" spans="1:78" s="142" customFormat="1" ht="12.75" hidden="1" customHeight="1" thickBot="1">
      <c r="A1565" s="808"/>
      <c r="B1565" s="166"/>
      <c r="C1565" s="777" t="s">
        <v>454</v>
      </c>
      <c r="D1565" s="512" t="str">
        <f>Translations!$B$647</f>
        <v>Netvar. BioC:</v>
      </c>
      <c r="E1565" s="513"/>
      <c r="F1565" s="597"/>
      <c r="G1565" s="1532" t="str">
        <f t="shared" si="385"/>
        <v/>
      </c>
      <c r="H1565" s="1533"/>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0"/>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0"/>
      <c r="AC1565" s="603" t="b">
        <f>AND(AC1557,Y1565&lt;&gt;EUconst_NA)</f>
        <v>0</v>
      </c>
      <c r="AD1565" s="30"/>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0"/>
      <c r="AV1565" s="613" t="b">
        <f t="shared" si="388"/>
        <v>0</v>
      </c>
      <c r="AW1565" s="614" t="b">
        <f t="shared" si="389"/>
        <v>0</v>
      </c>
      <c r="AX1565" s="30"/>
      <c r="AY1565" s="579" t="b">
        <f t="shared" si="390"/>
        <v>0</v>
      </c>
      <c r="AZ1565" s="580"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80" t="b">
        <f>OR(BZ1557,Y1565=EUconst_NA)</f>
        <v>1</v>
      </c>
    </row>
    <row r="1566" spans="1:78" s="142" customFormat="1" ht="5.0999999999999996" hidden="1" customHeight="1">
      <c r="A1566" s="808"/>
      <c r="B1566" s="166"/>
      <c r="C1566" s="166"/>
      <c r="D1566" s="180"/>
      <c r="O1566" s="733"/>
      <c r="P1566" s="33"/>
      <c r="Q1566" s="33"/>
      <c r="R1566" s="33"/>
      <c r="S1566" s="174"/>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hidden="1" customHeight="1">
      <c r="A1567" s="808"/>
      <c r="B1567" s="166"/>
      <c r="C1567" s="166"/>
      <c r="D1567" s="1558" t="str">
        <f>Translations!$B$674</f>
        <v>Pakopos galioja nuo:</v>
      </c>
      <c r="E1567" s="1558"/>
      <c r="F1567" s="1559"/>
      <c r="G1567" s="1052"/>
      <c r="H1567" s="615" t="str">
        <f>Translations!$B$675</f>
        <v>iki:</v>
      </c>
      <c r="I1567" s="1052"/>
      <c r="J1567" s="1536" t="str">
        <f>Translations!$B$676</f>
        <v>Atliekų katalogo numeris (jeigu taikytina):</v>
      </c>
      <c r="K1567" s="1537"/>
      <c r="L1567" s="1537"/>
      <c r="M1567" s="1538"/>
      <c r="N1567" s="1289"/>
      <c r="O1567" s="733"/>
      <c r="P1567" s="33"/>
      <c r="Q1567" s="33"/>
      <c r="R1567" s="33"/>
      <c r="S1567" s="1290"/>
      <c r="T1567" s="492"/>
      <c r="U1567" s="492"/>
      <c r="V1567" s="48" t="b">
        <f>IF(V1557="",FALSE,INDEX(CNTR_IsWaste,MATCH(V1557,MSParameters!$A$218:$A$376,0)))</f>
        <v>0</v>
      </c>
      <c r="W1567" s="1290"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hidden="1" customHeight="1">
      <c r="A1568" s="808"/>
      <c r="B1568" s="166"/>
      <c r="C1568" s="166"/>
      <c r="D1568" s="615"/>
      <c r="E1568" s="495"/>
      <c r="F1568" s="495"/>
      <c r="G1568" s="495"/>
      <c r="H1568" s="495"/>
      <c r="I1568" s="495"/>
      <c r="J1568" s="495"/>
      <c r="K1568" s="495"/>
      <c r="L1568" s="495"/>
      <c r="M1568" s="495"/>
      <c r="N1568" s="495"/>
      <c r="O1568" s="733"/>
      <c r="P1568" s="33"/>
      <c r="Q1568" s="33"/>
      <c r="R1568" s="33"/>
      <c r="S1568" s="174"/>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hidden="1" customHeight="1">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3"/>
      <c r="Q1569" s="33"/>
      <c r="R1569" s="33"/>
      <c r="S1569" s="174"/>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hidden="1" customHeight="1">
      <c r="A1570" s="815"/>
      <c r="D1570" s="180"/>
      <c r="O1570" s="573"/>
      <c r="P1570" s="497"/>
      <c r="Q1570" s="497"/>
      <c r="R1570" s="497"/>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hidden="1">
      <c r="A1571" s="815"/>
      <c r="D1571" s="1534" t="str">
        <f>Translations!$B$160</f>
        <v>Pastabos:</v>
      </c>
      <c r="E1571" s="1535"/>
      <c r="F1571" s="1539"/>
      <c r="G1571" s="1540"/>
      <c r="H1571" s="1540"/>
      <c r="I1571" s="1540"/>
      <c r="J1571" s="1540"/>
      <c r="K1571" s="1540"/>
      <c r="L1571" s="1540"/>
      <c r="M1571" s="1540"/>
      <c r="N1571" s="1541"/>
      <c r="O1571" s="573"/>
      <c r="P1571" s="497"/>
      <c r="Q1571" s="497"/>
      <c r="R1571" s="497"/>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c r="A1572" s="808"/>
      <c r="B1572" s="495"/>
      <c r="C1572" s="499"/>
      <c r="D1572" s="500"/>
      <c r="E1572" s="501"/>
      <c r="F1572" s="499"/>
      <c r="G1572" s="502"/>
      <c r="H1572" s="502"/>
      <c r="I1572" s="502"/>
      <c r="J1572" s="502"/>
      <c r="K1572" s="502"/>
      <c r="L1572" s="502"/>
      <c r="M1572" s="502"/>
      <c r="N1572" s="502"/>
      <c r="O1572" s="740"/>
      <c r="P1572" s="494"/>
      <c r="Q1572" s="494"/>
      <c r="R1572" s="494"/>
      <c r="S1572" s="58"/>
      <c r="T1572" s="58"/>
      <c r="U1572" s="498"/>
      <c r="V1572" s="58"/>
      <c r="W1572" s="58"/>
      <c r="X1572" s="49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c r="A1573" s="813"/>
      <c r="B1573" s="495"/>
      <c r="C1573" s="495"/>
      <c r="D1573" s="180"/>
      <c r="E1573" s="496"/>
      <c r="F1573" s="495"/>
      <c r="G1573" s="487"/>
      <c r="H1573" s="487"/>
      <c r="I1573" s="487"/>
      <c r="J1573" s="487"/>
      <c r="K1573" s="495"/>
      <c r="L1573" s="487"/>
      <c r="M1573" s="487"/>
      <c r="N1573" s="487"/>
      <c r="O1573" s="740"/>
      <c r="P1573" s="494"/>
      <c r="Q1573" s="494"/>
      <c r="R1573" s="494"/>
      <c r="S1573" s="23"/>
      <c r="T1573" s="27" t="str">
        <f>IF(ISBLANK(E1574),"",MATCH(E1574,CNTR_SourceStreamNames,0))</f>
        <v/>
      </c>
      <c r="U1573" s="618"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1"/>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3" t="s">
        <v>262</v>
      </c>
    </row>
    <row r="1574" spans="1:78" s="142" customFormat="1" ht="15" hidden="1" customHeight="1" thickBot="1">
      <c r="A1574" s="869" t="str">
        <f>IF(E1574="","","PRINT")</f>
        <v/>
      </c>
      <c r="B1574" s="166"/>
      <c r="C1574" s="617">
        <f>C1547+1</f>
        <v>57</v>
      </c>
      <c r="D1574" s="166"/>
      <c r="E1574" s="1542"/>
      <c r="F1574" s="1543"/>
      <c r="G1574" s="1543"/>
      <c r="H1574" s="1543"/>
      <c r="I1574" s="1543"/>
      <c r="J1574" s="1544"/>
      <c r="K1574" s="1545" t="str">
        <f>IF(E1575="","",INDEX(EUwideConstants!$F$353:$F$394,MATCH(E1575,EUConst_TierActivityListNames,0)))</f>
        <v/>
      </c>
      <c r="L1574" s="1546"/>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3"/>
      <c r="T1574" s="509" t="s">
        <v>393</v>
      </c>
      <c r="U1574" s="23"/>
      <c r="V1574" s="78"/>
      <c r="W1574" s="56"/>
      <c r="X1574" s="58"/>
      <c r="Y1574" s="58"/>
      <c r="Z1574" s="58"/>
      <c r="AA1574" s="58"/>
      <c r="AB1574" s="58"/>
      <c r="AC1574" s="58"/>
      <c r="AD1574" s="58"/>
      <c r="AE1574" s="58"/>
      <c r="AF1574" s="58"/>
      <c r="AG1574" s="58"/>
      <c r="AH1574" s="58"/>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6"/>
      <c r="BZ1574" s="619" t="b">
        <f>CNTR_CalcRelevant=EUconst_NotRelevant</f>
        <v>0</v>
      </c>
    </row>
    <row r="1575" spans="1:78" s="142" customFormat="1" ht="15" hidden="1" customHeight="1" thickBot="1">
      <c r="A1575" s="808"/>
      <c r="B1575" s="166"/>
      <c r="C1575" s="166"/>
      <c r="D1575" s="166"/>
      <c r="E1575" s="1547" t="str">
        <f>IF(ISBLANK(E1574),"",IF(INDEX(B_InstallationDescription!$E$71:$E$145,MATCH(U1573,B_InstallationDescription!$D$71:$D$145,0))&gt;0,INDEX(B_InstallationDescription!$E$71:$E$145,MATCH(U1573,B_InstallationDescription!$D$71:$D$145,0)),""))</f>
        <v/>
      </c>
      <c r="F1575" s="1548"/>
      <c r="G1575" s="1548"/>
      <c r="H1575" s="1548"/>
      <c r="I1575" s="1548"/>
      <c r="J1575" s="1549"/>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4"/>
      <c r="AH1575" s="30"/>
      <c r="AI1575" s="30"/>
      <c r="AJ1575" s="504"/>
      <c r="AK1575" s="504"/>
      <c r="AL1575" s="342"/>
      <c r="AM1575" s="27" t="s">
        <v>308</v>
      </c>
      <c r="AN1575" s="505"/>
      <c r="AO1575" s="505"/>
      <c r="AP1575" s="30"/>
      <c r="AQ1575" s="30"/>
      <c r="AR1575" s="30"/>
      <c r="AS1575" s="30"/>
      <c r="AT1575" s="30"/>
      <c r="AU1575" s="30"/>
      <c r="AV1575" s="27" t="s">
        <v>315</v>
      </c>
      <c r="AW1575" s="30"/>
      <c r="AX1575" s="492"/>
      <c r="AY1575" s="30"/>
      <c r="AZ1575" s="30"/>
      <c r="BA1575" s="30"/>
      <c r="BB1575" s="27" t="s">
        <v>219</v>
      </c>
      <c r="BC1575" s="30"/>
      <c r="BD1575" s="30"/>
      <c r="BE1575" s="30"/>
      <c r="BF1575" s="30"/>
      <c r="BG1575" s="27"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0"/>
      <c r="BZ1575" s="30"/>
    </row>
    <row r="1576" spans="1:78" s="142" customFormat="1" ht="4.5" hidden="1" customHeight="1">
      <c r="A1576" s="808"/>
      <c r="B1576" s="166"/>
      <c r="C1576" s="166"/>
      <c r="D1576" s="166"/>
      <c r="E1576" s="166"/>
      <c r="F1576" s="166"/>
      <c r="G1576" s="166"/>
      <c r="M1576" s="143"/>
      <c r="N1576" s="143"/>
      <c r="O1576" s="733"/>
      <c r="P1576" s="33"/>
      <c r="Q1576" s="33"/>
      <c r="R1576" s="33"/>
      <c r="S1576" s="23"/>
      <c r="T1576" s="23"/>
      <c r="U1576" s="23"/>
      <c r="V1576" s="78"/>
      <c r="W1576" s="30"/>
      <c r="X1576" s="30"/>
      <c r="Y1576" s="494"/>
      <c r="Z1576" s="30"/>
      <c r="AA1576" s="30"/>
      <c r="AB1576" s="30"/>
      <c r="AC1576" s="30"/>
      <c r="AD1576" s="30"/>
      <c r="AE1576" s="30"/>
      <c r="AF1576" s="58"/>
      <c r="AG1576" s="30"/>
      <c r="AH1576" s="30"/>
      <c r="AI1576" s="30"/>
      <c r="AJ1576" s="504"/>
      <c r="AK1576" s="504"/>
      <c r="AL1576" s="342"/>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hidden="1" customHeight="1" thickBot="1">
      <c r="A1577" s="808"/>
      <c r="B1577" s="166"/>
      <c r="C1577" s="166"/>
      <c r="D1577" s="166"/>
      <c r="E1577" s="1550" t="str">
        <f>IF(E1574="","",IF(T1575=TRUE,HYPERLINK("#JUMP_14",EUconst_MsgGoOnPFC),HYPERLINK("#JUMP_E_8",EUconst_FurtherGuidancePoint1)))</f>
        <v/>
      </c>
      <c r="F1577" s="1550"/>
      <c r="G1577" s="1550"/>
      <c r="H1577" s="1550"/>
      <c r="I1577" s="1550"/>
      <c r="J1577" s="1550"/>
      <c r="K1577" s="1550"/>
      <c r="L1577" s="1550"/>
      <c r="M1577" s="1550"/>
      <c r="N1577" s="143"/>
      <c r="O1577" s="733"/>
      <c r="P1577" s="33"/>
      <c r="Q1577" s="352" t="str">
        <f>EUconst_SumNonSustBioCO2 &amp; "_" &amp; K1574</f>
        <v>SUM_bioNonSustCO2_</v>
      </c>
      <c r="R1577" s="707"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4"/>
      <c r="AK1577" s="504"/>
      <c r="AL1577" s="342"/>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hidden="1" customHeight="1">
      <c r="A1578" s="808"/>
      <c r="B1578" s="166"/>
      <c r="C1578" s="166"/>
      <c r="D1578" s="166"/>
      <c r="E1578" s="166"/>
      <c r="F1578" s="166"/>
      <c r="G1578" s="166"/>
      <c r="M1578" s="143"/>
      <c r="N1578" s="143"/>
      <c r="O1578" s="733"/>
      <c r="P1578" s="23"/>
      <c r="Q1578" s="23"/>
      <c r="R1578" s="23"/>
      <c r="S1578" s="23"/>
      <c r="T1578" s="23"/>
      <c r="U1578" s="23"/>
      <c r="V1578" s="30"/>
      <c r="W1578" s="30"/>
      <c r="X1578" s="30"/>
      <c r="Y1578" s="494"/>
      <c r="Z1578" s="30"/>
      <c r="AA1578" s="30"/>
      <c r="AB1578" s="30"/>
      <c r="AC1578" s="30"/>
      <c r="AD1578" s="30"/>
      <c r="AE1578" s="30"/>
      <c r="AF1578" s="58"/>
      <c r="AG1578" s="30"/>
      <c r="AH1578" s="30"/>
      <c r="AI1578" s="30"/>
      <c r="AJ1578" s="504"/>
      <c r="AK1578" s="504"/>
      <c r="AL1578" s="342"/>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hidden="1" customHeight="1" thickBot="1">
      <c r="A1579" s="808"/>
      <c r="B1579" s="166"/>
      <c r="C1579" s="814" t="s">
        <v>4</v>
      </c>
      <c r="D1579" s="512" t="str">
        <f>Translations!$B$622</f>
        <v>VD:</v>
      </c>
      <c r="E1579" s="1560" t="str">
        <f>Translations!$B$667</f>
        <v>Ar veiklos duomenys gaunami sudedant išmatuotus kiekius (t. y. ne atliekant nuolatinius matavimus)?</v>
      </c>
      <c r="F1579" s="1560"/>
      <c r="G1579" s="1560"/>
      <c r="H1579" s="1560"/>
      <c r="I1579" s="1560"/>
      <c r="J1579" s="1560"/>
      <c r="K1579" s="1560"/>
      <c r="L1579" s="1179"/>
      <c r="M1579" s="507"/>
      <c r="O1579" s="733"/>
      <c r="P1579" s="23"/>
      <c r="Q1579" s="23"/>
      <c r="R1579" s="23"/>
      <c r="S1579" s="23"/>
      <c r="T1579" s="23"/>
      <c r="U1579" s="23"/>
      <c r="V1579" s="30"/>
      <c r="W1579" s="30"/>
      <c r="X1579" s="30"/>
      <c r="Y1579" s="494"/>
      <c r="Z1579" s="30"/>
      <c r="AA1579" s="30"/>
      <c r="AB1579" s="30"/>
      <c r="AC1579" s="1172" t="b">
        <f>AND(E1574&lt;&gt;"",T1575&lt;&gt;TRUE)</f>
        <v>0</v>
      </c>
      <c r="AD1579" s="30"/>
      <c r="AE1579" s="30"/>
      <c r="AF1579" s="58"/>
      <c r="AG1579" s="30"/>
      <c r="AH1579" s="30"/>
      <c r="AI1579" s="30"/>
      <c r="AJ1579" s="504"/>
      <c r="AK1579" s="504"/>
      <c r="AL1579" s="342"/>
      <c r="AM1579" s="30"/>
      <c r="AN1579" s="30"/>
      <c r="AO1579" s="30"/>
      <c r="AP1579" s="30"/>
      <c r="AQ1579" s="30"/>
      <c r="AR1579" s="30"/>
      <c r="AS1579" s="30"/>
      <c r="AT1579" s="1172"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2" t="b">
        <f>OR(CNTR_CalcRelevant=EUconst_NotRelevant,AND(COUNTA(CNTR_ListRelevantSections)&gt;0,OR(T1575=TRUE,E1574="")))</f>
        <v>1</v>
      </c>
    </row>
    <row r="1580" spans="1:78" s="142" customFormat="1" ht="4.5" hidden="1" customHeight="1">
      <c r="A1580" s="808"/>
      <c r="B1580" s="166"/>
      <c r="C1580" s="166"/>
      <c r="D1580" s="166"/>
      <c r="E1580" s="166"/>
      <c r="F1580" s="166"/>
      <c r="G1580" s="166"/>
      <c r="H1580" s="495"/>
      <c r="I1580" s="495"/>
      <c r="J1580" s="495"/>
      <c r="K1580" s="495"/>
      <c r="L1580" s="495"/>
      <c r="M1580" s="507"/>
      <c r="O1580" s="733"/>
      <c r="P1580" s="23"/>
      <c r="Q1580" s="23"/>
      <c r="R1580" s="23"/>
      <c r="S1580" s="23"/>
      <c r="T1580" s="23"/>
      <c r="U1580" s="23"/>
      <c r="V1580" s="30"/>
      <c r="W1580" s="30"/>
      <c r="X1580" s="30"/>
      <c r="Y1580" s="494"/>
      <c r="Z1580" s="30"/>
      <c r="AA1580" s="30"/>
      <c r="AB1580" s="30"/>
      <c r="AC1580" s="492"/>
      <c r="AD1580" s="30"/>
      <c r="AE1580" s="30"/>
      <c r="AF1580" s="58"/>
      <c r="AG1580" s="30"/>
      <c r="AH1580" s="30"/>
      <c r="AI1580" s="30"/>
      <c r="AJ1580" s="504"/>
      <c r="AK1580" s="504"/>
      <c r="AL1580" s="342"/>
      <c r="AM1580" s="30"/>
      <c r="AN1580" s="30"/>
      <c r="AO1580" s="30"/>
      <c r="AP1580" s="30"/>
      <c r="AQ1580" s="30"/>
      <c r="AR1580" s="30"/>
      <c r="AS1580" s="30"/>
      <c r="AT1580" s="492"/>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2"/>
    </row>
    <row r="1581" spans="1:78" s="142" customFormat="1" ht="12.75" hidden="1" customHeight="1" thickBot="1">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3"/>
      <c r="Q1581" s="23"/>
      <c r="R1581" s="23"/>
      <c r="S1581" s="23"/>
      <c r="T1581" s="23"/>
      <c r="U1581" s="23"/>
      <c r="V1581" s="30"/>
      <c r="W1581" s="30"/>
      <c r="X1581" s="30"/>
      <c r="Y1581" s="494"/>
      <c r="Z1581" s="30"/>
      <c r="AA1581" s="30"/>
      <c r="AB1581" s="30"/>
      <c r="AC1581" s="1172" t="b">
        <f>AC1579</f>
        <v>0</v>
      </c>
      <c r="AD1581" s="30"/>
      <c r="AE1581" s="30"/>
      <c r="AF1581" s="58"/>
      <c r="AG1581" s="30"/>
      <c r="AH1581" s="30"/>
      <c r="AI1581" s="30"/>
      <c r="AJ1581" s="504"/>
      <c r="AK1581" s="504"/>
      <c r="AL1581" s="342"/>
      <c r="AM1581" s="30"/>
      <c r="AN1581" s="30"/>
      <c r="AO1581" s="30"/>
      <c r="AP1581" s="30"/>
      <c r="AQ1581" s="30"/>
      <c r="AR1581" s="30"/>
      <c r="AS1581" s="30"/>
      <c r="AT1581" s="1172"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2" t="b">
        <f>OR(BZ1579,AND(NOT(ISBLANK(L1579)),L1579=FALSE))</f>
        <v>1</v>
      </c>
    </row>
    <row r="1582" spans="1:78" s="142" customFormat="1" ht="5.0999999999999996" hidden="1" customHeight="1">
      <c r="A1582" s="808"/>
      <c r="B1582" s="166"/>
      <c r="C1582" s="166"/>
      <c r="D1582" s="166"/>
      <c r="E1582" s="166"/>
      <c r="F1582" s="166"/>
      <c r="G1582" s="166"/>
      <c r="M1582" s="143"/>
      <c r="N1582" s="143"/>
      <c r="O1582" s="733"/>
      <c r="P1582" s="23"/>
      <c r="Q1582" s="23"/>
      <c r="R1582" s="23"/>
      <c r="S1582" s="23"/>
      <c r="T1582" s="23"/>
      <c r="U1582" s="23"/>
      <c r="V1582" s="30"/>
      <c r="W1582" s="30"/>
      <c r="X1582" s="30"/>
      <c r="Y1582" s="494"/>
      <c r="Z1582" s="30"/>
      <c r="AA1582" s="30"/>
      <c r="AB1582" s="30"/>
      <c r="AC1582" s="30"/>
      <c r="AD1582" s="30"/>
      <c r="AE1582" s="30"/>
      <c r="AF1582" s="58"/>
      <c r="AG1582" s="30"/>
      <c r="AH1582" s="30"/>
      <c r="AI1582" s="30"/>
      <c r="AJ1582" s="504"/>
      <c r="AK1582" s="504"/>
      <c r="AL1582" s="342"/>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hidden="1" customHeight="1" thickBot="1">
      <c r="A1583" s="808"/>
      <c r="B1583" s="166"/>
      <c r="C1583" s="166"/>
      <c r="D1583" s="166"/>
      <c r="E1583" s="166"/>
      <c r="F1583" s="506" t="str">
        <f>Translations!$B$333</f>
        <v>Pakopa</v>
      </c>
      <c r="G1583" s="1557" t="str">
        <f>Translations!$B$672</f>
        <v>pakopos aprašas</v>
      </c>
      <c r="H1583" s="1557"/>
      <c r="I1583" s="1555" t="str">
        <f>Translations!$B$158</f>
        <v>Vienetas</v>
      </c>
      <c r="J1583" s="1555"/>
      <c r="K1583" s="1555" t="str">
        <f>Translations!$B$673</f>
        <v>Vertė</v>
      </c>
      <c r="L1583" s="1555"/>
      <c r="M1583" s="507" t="str">
        <f>Translations!$B$610</f>
        <v>klaida</v>
      </c>
      <c r="O1583" s="733"/>
      <c r="P1583" s="508"/>
      <c r="Q1583" s="352" t="str">
        <f>EUconst_SumEnergyIN &amp; "_" &amp; K1574</f>
        <v>SUM_EnergyIN_</v>
      </c>
      <c r="R1583" s="399" t="str">
        <f>IF(OR(K1574="",T1575)=TRUE,"",INDEX(BC1589:BE1589,MATCH(K1574,BC1584:BE1584,0)))</f>
        <v/>
      </c>
      <c r="S1583" s="30"/>
      <c r="T1583" s="489"/>
      <c r="U1583" s="30"/>
      <c r="V1583" s="509" t="s">
        <v>303</v>
      </c>
      <c r="W1583" s="30"/>
      <c r="X1583" s="30"/>
      <c r="Y1583" s="494" t="s">
        <v>566</v>
      </c>
      <c r="Z1583" s="494" t="s">
        <v>318</v>
      </c>
      <c r="AA1583" s="30"/>
      <c r="AB1583" s="30"/>
      <c r="AC1583" s="505" t="s">
        <v>309</v>
      </c>
      <c r="AD1583" s="30"/>
      <c r="AE1583" s="30"/>
      <c r="AF1583" s="492" t="s">
        <v>305</v>
      </c>
      <c r="AG1583" s="492" t="s">
        <v>306</v>
      </c>
      <c r="AH1583" s="494" t="s">
        <v>304</v>
      </c>
      <c r="AI1583" s="504" t="s">
        <v>307</v>
      </c>
      <c r="AJ1583" s="504" t="s">
        <v>567</v>
      </c>
      <c r="AK1583" s="510" t="s">
        <v>311</v>
      </c>
      <c r="AL1583" s="342"/>
      <c r="AM1583" s="30"/>
      <c r="AN1583" s="492" t="s">
        <v>305</v>
      </c>
      <c r="AO1583" s="492" t="s">
        <v>306</v>
      </c>
      <c r="AP1583" s="511" t="s">
        <v>310</v>
      </c>
      <c r="AQ1583" s="504" t="s">
        <v>569</v>
      </c>
      <c r="AR1583" s="504" t="s">
        <v>568</v>
      </c>
      <c r="AS1583" s="510" t="s">
        <v>609</v>
      </c>
      <c r="AT1583" s="510" t="s">
        <v>609</v>
      </c>
      <c r="AU1583" s="30"/>
      <c r="AV1583" s="492"/>
      <c r="AW1583" s="492"/>
      <c r="AX1583" s="492" t="s">
        <v>321</v>
      </c>
      <c r="AY1583" s="492"/>
      <c r="AZ1583" s="492"/>
      <c r="BA1583" s="492"/>
      <c r="BB1583" s="492"/>
      <c r="BC1583" s="492"/>
      <c r="BD1583" s="492"/>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3" t="s">
        <v>262</v>
      </c>
    </row>
    <row r="1584" spans="1:78" s="142" customFormat="1" ht="12.75" hidden="1" customHeight="1" thickBot="1">
      <c r="A1584" s="808"/>
      <c r="B1584" s="166"/>
      <c r="C1584" s="777" t="s">
        <v>196</v>
      </c>
      <c r="D1584" s="512" t="str">
        <f>Translations!$B$622</f>
        <v>VD:</v>
      </c>
      <c r="E1584" s="513"/>
      <c r="F1584" s="402"/>
      <c r="G1584" s="1532" t="str">
        <f>IF(OR(ISBLANK(F1584),F1584=EUconst_NoTier),"",IF(Z1584=0,EUconst_NA,IF(ISERROR(Z1584),"",Z1584)))</f>
        <v/>
      </c>
      <c r="H1584" s="1533"/>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0"/>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0"/>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0"/>
      <c r="AV1584" s="492" t="s">
        <v>314</v>
      </c>
      <c r="AW1584" s="492" t="s">
        <v>319</v>
      </c>
      <c r="AX1584" s="524"/>
      <c r="AY1584" s="30" t="s">
        <v>542</v>
      </c>
      <c r="AZ1584" s="30"/>
      <c r="BA1584" s="30"/>
      <c r="BB1584" s="504"/>
      <c r="BC1584" s="493" t="str">
        <f>EUconst_Fuel</f>
        <v>Degimas</v>
      </c>
      <c r="BD1584" s="493" t="str">
        <f>EUconst_ProcessCarbonate</f>
        <v>Proceso metu išsiskiriančios ŠESD</v>
      </c>
      <c r="BE1584" s="493"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4" t="b">
        <f>BZ1579</f>
        <v>1</v>
      </c>
    </row>
    <row r="1585" spans="1:78" s="142" customFormat="1" ht="5.0999999999999996" hidden="1" customHeight="1">
      <c r="A1585" s="808"/>
      <c r="B1585" s="166"/>
      <c r="C1585" s="814"/>
      <c r="D1585" s="306"/>
      <c r="F1585" s="143"/>
      <c r="G1585" s="143"/>
      <c r="H1585" s="143" t="s">
        <v>236</v>
      </c>
      <c r="I1585" s="525"/>
      <c r="J1585" s="525"/>
      <c r="K1585" s="143"/>
      <c r="L1585" s="143"/>
      <c r="M1585" s="710"/>
      <c r="O1585" s="733"/>
      <c r="P1585" s="33"/>
      <c r="Q1585" s="33"/>
      <c r="R1585" s="33"/>
      <c r="S1585" s="30"/>
      <c r="T1585" s="155"/>
      <c r="U1585" s="497"/>
      <c r="V1585" s="30"/>
      <c r="W1585" s="30"/>
      <c r="X1585" s="497"/>
      <c r="Y1585" s="526"/>
      <c r="Z1585" s="30"/>
      <c r="AA1585" s="30"/>
      <c r="AB1585" s="30"/>
      <c r="AC1585" s="30"/>
      <c r="AD1585" s="30"/>
      <c r="AE1585" s="30"/>
      <c r="AF1585" s="30"/>
      <c r="AG1585" s="30"/>
      <c r="AH1585" s="30"/>
      <c r="AI1585" s="30"/>
      <c r="AJ1585" s="30"/>
      <c r="AK1585" s="30"/>
      <c r="AL1585" s="342"/>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3"/>
    </row>
    <row r="1586" spans="1:78" s="142" customFormat="1" ht="12.75" hidden="1" customHeight="1" thickBot="1">
      <c r="A1586" s="808"/>
      <c r="B1586" s="166"/>
      <c r="C1586" s="814" t="s">
        <v>197</v>
      </c>
      <c r="D1586" s="512" t="str">
        <f>Translations!$B$634</f>
        <v>(prelim.) ITF:</v>
      </c>
      <c r="E1586" s="513"/>
      <c r="F1586" s="527"/>
      <c r="G1586" s="1532" t="str">
        <f t="shared" ref="G1586:G1592" si="392">IF(OR(ISBLANK(F1586),F1586=EUconst_NoTier),"",IF(Z1586=0,EUconst_NotApplicable,IF(ISERROR(Z1586),"",Z1586)))</f>
        <v/>
      </c>
      <c r="H1586" s="1556"/>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3"/>
      <c r="Q1586" s="33"/>
      <c r="R1586" s="33"/>
      <c r="S1586" s="30"/>
      <c r="T1586" s="530" t="str">
        <f>EUconst_CNTR_EF&amp;E1575</f>
        <v>EF_</v>
      </c>
      <c r="U1586" s="497"/>
      <c r="V1586" s="531" t="str">
        <f>V1584</f>
        <v/>
      </c>
      <c r="W1586" s="30"/>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0"/>
      <c r="AC1586" s="535" t="b">
        <f>AND(AC1584,Y1586&lt;&gt;EUconst_NA)</f>
        <v>0</v>
      </c>
      <c r="AD1586" s="30"/>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0"/>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0"/>
      <c r="BA1586" s="30"/>
      <c r="BB1586" s="547" t="s">
        <v>594</v>
      </c>
      <c r="BC1586" s="546" t="str">
        <f>IF(K1574=BC1584,AR1584*IF(AJ1586=EUconst_tCO2pTJ,(AR1587/1000),1)*AR1586*AR1588*AR1592,"")</f>
        <v/>
      </c>
      <c r="BD1586" s="524" t="str">
        <f>IF(K1574=BD1584,AR1584*AR1586*AR1589*AR1592,"")</f>
        <v/>
      </c>
      <c r="BE1586" s="523"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1" t="b">
        <f>OR(BZ1584,Y1586=EUconst_NA)</f>
        <v>1</v>
      </c>
    </row>
    <row r="1587" spans="1:78" s="142" customFormat="1" ht="12.75" hidden="1" customHeight="1" thickBot="1">
      <c r="A1587" s="808"/>
      <c r="B1587" s="166"/>
      <c r="C1587" s="814" t="s">
        <v>198</v>
      </c>
      <c r="D1587" s="512" t="str">
        <f>Translations!$B$636</f>
        <v>GŠV:</v>
      </c>
      <c r="E1587" s="513"/>
      <c r="F1587" s="548"/>
      <c r="G1587" s="1532" t="str">
        <f t="shared" si="392"/>
        <v/>
      </c>
      <c r="H1587" s="1533"/>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3"/>
      <c r="Q1587" s="33"/>
      <c r="R1587" s="33"/>
      <c r="S1587" s="30"/>
      <c r="T1587" s="552" t="str">
        <f>EUconst_CNTR_NCV&amp;E1575</f>
        <v>NCV_</v>
      </c>
      <c r="U1587" s="497"/>
      <c r="V1587" s="553" t="str">
        <f t="shared" ref="V1587:V1592" si="398">V1586</f>
        <v/>
      </c>
      <c r="W1587" s="30"/>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0"/>
      <c r="AC1587" s="557" t="b">
        <f>AND(AC1584,Y1587&lt;&gt;EUconst_NA)</f>
        <v>0</v>
      </c>
      <c r="AD1587" s="30"/>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0"/>
      <c r="AV1587" s="567" t="b">
        <f t="shared" si="395"/>
        <v>0</v>
      </c>
      <c r="AW1587" s="568" t="b">
        <f t="shared" si="396"/>
        <v>0</v>
      </c>
      <c r="AX1587" s="30"/>
      <c r="AY1587" s="553" t="b">
        <f t="shared" si="397"/>
        <v>0</v>
      </c>
      <c r="AZ1587" s="30"/>
      <c r="BA1587" s="30"/>
      <c r="BB1587" s="547" t="s">
        <v>595</v>
      </c>
      <c r="BC1587" s="546" t="str">
        <f>IF(K1574=BC1584,AR1584*IF(AJ1586=EUconst_tCO2pTJ,(AR1587/1000),1)*AR1586*AR1588*AR1591,"")</f>
        <v/>
      </c>
      <c r="BD1587" s="524" t="str">
        <f>IF(K1574=BD1584,AR1584*AR1586*AR1589*AR1591,"")</f>
        <v/>
      </c>
      <c r="BE1587" s="523"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3" t="b">
        <f>OR(BZ1584,Y1587=EUconst_NA)</f>
        <v>1</v>
      </c>
    </row>
    <row r="1588" spans="1:78" s="142" customFormat="1" ht="12.75" hidden="1" customHeight="1" thickBot="1">
      <c r="A1588" s="808"/>
      <c r="B1588" s="166"/>
      <c r="C1588" s="814" t="s">
        <v>199</v>
      </c>
      <c r="D1588" s="512" t="str">
        <f>Translations!$B$638</f>
        <v>OksK:</v>
      </c>
      <c r="E1588" s="513"/>
      <c r="F1588" s="548"/>
      <c r="G1588" s="1532" t="str">
        <f t="shared" si="392"/>
        <v/>
      </c>
      <c r="H1588" s="1533"/>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3"/>
      <c r="Q1588" s="33"/>
      <c r="R1588" s="33"/>
      <c r="S1588" s="30"/>
      <c r="T1588" s="552" t="str">
        <f>EUconst_CNTR_OxidationFactor&amp;E1575</f>
        <v>OxF_</v>
      </c>
      <c r="U1588" s="497"/>
      <c r="V1588" s="553" t="str">
        <f t="shared" si="398"/>
        <v/>
      </c>
      <c r="W1588" s="30"/>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0"/>
      <c r="AC1588" s="557" t="b">
        <f>AND(AC1584,Y1588&lt;&gt;EUconst_NA)</f>
        <v>0</v>
      </c>
      <c r="AD1588" s="30"/>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0"/>
      <c r="AV1588" s="567" t="b">
        <f t="shared" si="395"/>
        <v>0</v>
      </c>
      <c r="AW1588" s="568" t="b">
        <f t="shared" si="396"/>
        <v>0</v>
      </c>
      <c r="AX1588" s="30"/>
      <c r="AY1588" s="594" t="b">
        <f t="shared" si="397"/>
        <v>0</v>
      </c>
      <c r="AZ1588" s="531" t="b">
        <f>AR1588&gt;100%</f>
        <v>0</v>
      </c>
      <c r="BA1588" s="30"/>
      <c r="BB1588" s="547" t="s">
        <v>290</v>
      </c>
      <c r="BC1588" s="546" t="str">
        <f>IF(K1574=BC1584,AR1584*IF(AJ1586=EUconst_tCO2pTJ,(AR1587/1000),1)*AR1586*AR1588*(1-AR1591),"")</f>
        <v/>
      </c>
      <c r="BD1588" s="524" t="str">
        <f>IF(K1574=BD1584,AR1584*AR1586*AR1589*(1-AR1591),"")</f>
        <v/>
      </c>
      <c r="BE1588" s="523"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3" t="b">
        <f>OR(BZ1584,Y1588=EUconst_NA)</f>
        <v>1</v>
      </c>
    </row>
    <row r="1589" spans="1:78" s="142" customFormat="1" ht="12.75" hidden="1" customHeight="1" thickBot="1">
      <c r="A1589" s="808"/>
      <c r="B1589" s="166"/>
      <c r="C1589" s="814" t="s">
        <v>200</v>
      </c>
      <c r="D1589" s="512" t="str">
        <f>Translations!$B$639</f>
        <v>KonvK:</v>
      </c>
      <c r="E1589" s="513"/>
      <c r="F1589" s="548"/>
      <c r="G1589" s="1532" t="str">
        <f t="shared" si="392"/>
        <v/>
      </c>
      <c r="H1589" s="1533"/>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3"/>
      <c r="Q1589" s="33"/>
      <c r="R1589" s="33"/>
      <c r="S1589" s="30"/>
      <c r="T1589" s="552" t="str">
        <f>EUconst_CNTR_ConversionFactor&amp;E1575</f>
        <v>ConvF_</v>
      </c>
      <c r="U1589" s="497"/>
      <c r="V1589" s="553" t="str">
        <f t="shared" si="398"/>
        <v/>
      </c>
      <c r="W1589" s="30"/>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0"/>
      <c r="AC1589" s="557" t="b">
        <f>AND(AC1584,Y1589&lt;&gt;EUconst_NA)</f>
        <v>0</v>
      </c>
      <c r="AD1589" s="30"/>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0"/>
      <c r="AV1589" s="567" t="b">
        <f t="shared" si="395"/>
        <v>0</v>
      </c>
      <c r="AW1589" s="568" t="b">
        <f t="shared" si="396"/>
        <v>0</v>
      </c>
      <c r="AX1589" s="30"/>
      <c r="AY1589" s="594" t="b">
        <f t="shared" si="397"/>
        <v>0</v>
      </c>
      <c r="AZ1589" s="580" t="b">
        <f>AR1589&gt;100%</f>
        <v>0</v>
      </c>
      <c r="BA1589" s="30"/>
      <c r="BB1589" s="578" t="s">
        <v>487</v>
      </c>
      <c r="BC1589" s="579">
        <f>AR1584*AR1587/1000*(1-AR1591)</f>
        <v>0</v>
      </c>
      <c r="BD1589" s="580">
        <f>BC1589</f>
        <v>0</v>
      </c>
      <c r="BE1589" s="581">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3" t="b">
        <f>OR(BZ1584,Y1589=EUconst_NA)</f>
        <v>1</v>
      </c>
    </row>
    <row r="1590" spans="1:78" s="142" customFormat="1" ht="12.75" hidden="1" customHeight="1" thickBot="1">
      <c r="A1590" s="808"/>
      <c r="B1590" s="166"/>
      <c r="C1590" s="814" t="s">
        <v>329</v>
      </c>
      <c r="D1590" s="512" t="str">
        <f>Translations!$B$640</f>
        <v>AnglK:</v>
      </c>
      <c r="E1590" s="513"/>
      <c r="F1590" s="548"/>
      <c r="G1590" s="1532" t="str">
        <f t="shared" si="392"/>
        <v/>
      </c>
      <c r="H1590" s="1533"/>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3"/>
      <c r="Q1590" s="33"/>
      <c r="R1590" s="33"/>
      <c r="S1590" s="30"/>
      <c r="T1590" s="552" t="str">
        <f>EUconst_CNTR_CarbonContent&amp;E1575</f>
        <v>CarbC_</v>
      </c>
      <c r="U1590" s="497"/>
      <c r="V1590" s="553" t="str">
        <f t="shared" si="398"/>
        <v/>
      </c>
      <c r="W1590" s="30"/>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0"/>
      <c r="AC1590" s="557" t="b">
        <f>AND(AC1584,Y1590&lt;&gt;EUconst_NA)</f>
        <v>0</v>
      </c>
      <c r="AD1590" s="30"/>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0"/>
      <c r="AV1590" s="567" t="b">
        <f t="shared" si="395"/>
        <v>0</v>
      </c>
      <c r="AW1590" s="568" t="b">
        <f t="shared" si="396"/>
        <v>0</v>
      </c>
      <c r="AX1590" s="546" t="b">
        <f>OR(AND(AJ1584=EUconst_kNm3,AJ1590=EUconst_tCpt),AND(AJ1584=EUconst_t,AJ1590=EUconst_tCpkNm3))</f>
        <v>0</v>
      </c>
      <c r="AY1590" s="553" t="b">
        <f t="shared" si="397"/>
        <v>0</v>
      </c>
      <c r="AZ1590" s="30"/>
      <c r="BA1590" s="30"/>
      <c r="BB1590" s="578" t="s">
        <v>488</v>
      </c>
      <c r="BC1590" s="579">
        <f>AR1584*AR1587/1000*AR1591</f>
        <v>0</v>
      </c>
      <c r="BD1590" s="580">
        <f>BC1590</f>
        <v>0</v>
      </c>
      <c r="BE1590" s="581">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3" t="b">
        <f>OR(BZ1584,Y1590=EUconst_NA)</f>
        <v>1</v>
      </c>
    </row>
    <row r="1591" spans="1:78" s="142" customFormat="1" ht="12.75" hidden="1" customHeight="1">
      <c r="A1591" s="808"/>
      <c r="B1591" s="166"/>
      <c r="C1591" s="777" t="s">
        <v>330</v>
      </c>
      <c r="D1591" s="512" t="str">
        <f>Translations!$B$641</f>
        <v>BioC:</v>
      </c>
      <c r="E1591" s="513"/>
      <c r="F1591" s="548"/>
      <c r="G1591" s="1532" t="str">
        <f t="shared" si="392"/>
        <v/>
      </c>
      <c r="H1591" s="1533"/>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0"/>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0"/>
      <c r="AC1591" s="557" t="b">
        <f>AND(AC1584,Y1591&lt;&gt;EUconst_NA)</f>
        <v>0</v>
      </c>
      <c r="AD1591" s="30"/>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0"/>
      <c r="AV1591" s="567" t="b">
        <f t="shared" si="395"/>
        <v>0</v>
      </c>
      <c r="AW1591" s="568" t="b">
        <f t="shared" si="396"/>
        <v>0</v>
      </c>
      <c r="AX1591" s="30"/>
      <c r="AY1591" s="594" t="b">
        <f t="shared" si="397"/>
        <v>0</v>
      </c>
      <c r="AZ1591" s="531"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3" t="b">
        <f>OR(BZ1584,Y1591=EUconst_NA)</f>
        <v>1</v>
      </c>
    </row>
    <row r="1592" spans="1:78" s="142" customFormat="1" ht="11.25" hidden="1" customHeight="1" thickBot="1">
      <c r="A1592" s="808"/>
      <c r="B1592" s="166"/>
      <c r="C1592" s="777" t="s">
        <v>454</v>
      </c>
      <c r="D1592" s="512" t="str">
        <f>Translations!$B$647</f>
        <v>Netvar. BioC:</v>
      </c>
      <c r="E1592" s="513"/>
      <c r="F1592" s="597"/>
      <c r="G1592" s="1532" t="str">
        <f t="shared" si="392"/>
        <v/>
      </c>
      <c r="H1592" s="1533"/>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0"/>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0"/>
      <c r="AC1592" s="603" t="b">
        <f>AND(AC1584,Y1592&lt;&gt;EUconst_NA)</f>
        <v>0</v>
      </c>
      <c r="AD1592" s="30"/>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0"/>
      <c r="AV1592" s="613" t="b">
        <f t="shared" si="395"/>
        <v>0</v>
      </c>
      <c r="AW1592" s="614" t="b">
        <f t="shared" si="396"/>
        <v>0</v>
      </c>
      <c r="AX1592" s="30"/>
      <c r="AY1592" s="579" t="b">
        <f t="shared" si="397"/>
        <v>0</v>
      </c>
      <c r="AZ1592" s="580"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80" t="b">
        <f>OR(BZ1584,Y1592=EUconst_NA)</f>
        <v>1</v>
      </c>
    </row>
    <row r="1593" spans="1:78" s="142" customFormat="1" ht="4.5" hidden="1" customHeight="1">
      <c r="A1593" s="808"/>
      <c r="B1593" s="166"/>
      <c r="C1593" s="166"/>
      <c r="D1593" s="180"/>
      <c r="O1593" s="733"/>
      <c r="P1593" s="33"/>
      <c r="Q1593" s="33"/>
      <c r="R1593" s="33"/>
      <c r="S1593" s="174"/>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hidden="1" customHeight="1">
      <c r="A1594" s="808"/>
      <c r="B1594" s="166"/>
      <c r="C1594" s="166"/>
      <c r="D1594" s="1558" t="str">
        <f>Translations!$B$674</f>
        <v>Pakopos galioja nuo:</v>
      </c>
      <c r="E1594" s="1558"/>
      <c r="F1594" s="1559"/>
      <c r="G1594" s="1052"/>
      <c r="H1594" s="615" t="str">
        <f>Translations!$B$675</f>
        <v>iki:</v>
      </c>
      <c r="I1594" s="1052"/>
      <c r="J1594" s="1536" t="str">
        <f>Translations!$B$676</f>
        <v>Atliekų katalogo numeris (jeigu taikytina):</v>
      </c>
      <c r="K1594" s="1537"/>
      <c r="L1594" s="1537"/>
      <c r="M1594" s="1538"/>
      <c r="N1594" s="1289"/>
      <c r="O1594" s="733"/>
      <c r="P1594" s="33"/>
      <c r="Q1594" s="33"/>
      <c r="R1594" s="33"/>
      <c r="S1594" s="1290"/>
      <c r="T1594" s="492"/>
      <c r="U1594" s="492"/>
      <c r="V1594" s="48" t="b">
        <f>IF(V1584="",FALSE,INDEX(CNTR_IsWaste,MATCH(V1584,MSParameters!$A$218:$A$376,0)))</f>
        <v>0</v>
      </c>
      <c r="W1594" s="1290"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hidden="1" customHeight="1">
      <c r="A1595" s="808"/>
      <c r="B1595" s="166"/>
      <c r="C1595" s="166"/>
      <c r="D1595" s="615"/>
      <c r="E1595" s="495"/>
      <c r="F1595" s="495"/>
      <c r="G1595" s="495"/>
      <c r="H1595" s="495"/>
      <c r="I1595" s="495"/>
      <c r="J1595" s="495"/>
      <c r="K1595" s="495"/>
      <c r="L1595" s="495"/>
      <c r="M1595" s="495"/>
      <c r="N1595" s="495"/>
      <c r="O1595" s="733"/>
      <c r="P1595" s="33"/>
      <c r="Q1595" s="33"/>
      <c r="R1595" s="33"/>
      <c r="S1595" s="174"/>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hidden="1" customHeight="1">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3"/>
      <c r="Q1596" s="33"/>
      <c r="R1596" s="33"/>
      <c r="S1596" s="174"/>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4.5" hidden="1" customHeight="1">
      <c r="A1597" s="815"/>
      <c r="D1597" s="180"/>
      <c r="O1597" s="573"/>
      <c r="P1597" s="497"/>
      <c r="Q1597" s="497"/>
      <c r="R1597" s="497"/>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hidden="1">
      <c r="A1598" s="815"/>
      <c r="D1598" s="1534" t="str">
        <f>Translations!$B$160</f>
        <v>Pastabos:</v>
      </c>
      <c r="E1598" s="1535"/>
      <c r="F1598" s="1539"/>
      <c r="G1598" s="1540"/>
      <c r="H1598" s="1540"/>
      <c r="I1598" s="1540"/>
      <c r="J1598" s="1540"/>
      <c r="K1598" s="1540"/>
      <c r="L1598" s="1540"/>
      <c r="M1598" s="1540"/>
      <c r="N1598" s="1541"/>
      <c r="O1598" s="573"/>
      <c r="P1598" s="497"/>
      <c r="Q1598" s="497"/>
      <c r="R1598" s="497"/>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c r="A1599" s="808"/>
      <c r="B1599" s="495"/>
      <c r="C1599" s="499"/>
      <c r="D1599" s="500"/>
      <c r="E1599" s="501"/>
      <c r="F1599" s="499"/>
      <c r="G1599" s="502"/>
      <c r="H1599" s="502"/>
      <c r="I1599" s="502"/>
      <c r="J1599" s="502"/>
      <c r="K1599" s="502"/>
      <c r="L1599" s="502"/>
      <c r="M1599" s="502"/>
      <c r="N1599" s="502"/>
      <c r="O1599" s="740"/>
      <c r="P1599" s="494"/>
      <c r="Q1599" s="494"/>
      <c r="R1599" s="494"/>
      <c r="S1599" s="58"/>
      <c r="T1599" s="58"/>
      <c r="U1599" s="498"/>
      <c r="V1599" s="58"/>
      <c r="W1599" s="58"/>
      <c r="X1599" s="498"/>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c r="A1600" s="813"/>
      <c r="B1600" s="495"/>
      <c r="C1600" s="495"/>
      <c r="D1600" s="180"/>
      <c r="E1600" s="496"/>
      <c r="F1600" s="495"/>
      <c r="G1600" s="487"/>
      <c r="H1600" s="487"/>
      <c r="I1600" s="487"/>
      <c r="J1600" s="487"/>
      <c r="K1600" s="495"/>
      <c r="L1600" s="487"/>
      <c r="M1600" s="487"/>
      <c r="N1600" s="487"/>
      <c r="O1600" s="740"/>
      <c r="P1600" s="494"/>
      <c r="Q1600" s="494"/>
      <c r="R1600" s="494"/>
      <c r="S1600" s="23"/>
      <c r="T1600" s="27" t="str">
        <f>IF(ISBLANK(E1601),"",MATCH(E1601,CNTR_SourceStreamNames,0))</f>
        <v/>
      </c>
      <c r="U1600" s="618"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1"/>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3" t="s">
        <v>262</v>
      </c>
    </row>
    <row r="1601" spans="1:78" s="142" customFormat="1" ht="15" hidden="1" customHeight="1" thickBot="1">
      <c r="A1601" s="869" t="str">
        <f>IF(E1601="","","PRINT")</f>
        <v/>
      </c>
      <c r="B1601" s="166"/>
      <c r="C1601" s="617">
        <f>C1574+1</f>
        <v>58</v>
      </c>
      <c r="D1601" s="166"/>
      <c r="E1601" s="1542"/>
      <c r="F1601" s="1543"/>
      <c r="G1601" s="1543"/>
      <c r="H1601" s="1543"/>
      <c r="I1601" s="1543"/>
      <c r="J1601" s="1544"/>
      <c r="K1601" s="1545" t="str">
        <f>IF(E1602="","",INDEX(EUwideConstants!$F$353:$F$394,MATCH(E1602,EUConst_TierActivityListNames,0)))</f>
        <v/>
      </c>
      <c r="L1601" s="1546"/>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3"/>
      <c r="T1601" s="509" t="s">
        <v>393</v>
      </c>
      <c r="U1601" s="23"/>
      <c r="V1601" s="78"/>
      <c r="W1601" s="56"/>
      <c r="X1601" s="58"/>
      <c r="Y1601" s="58"/>
      <c r="Z1601" s="58"/>
      <c r="AA1601" s="58"/>
      <c r="AB1601" s="58"/>
      <c r="AC1601" s="58"/>
      <c r="AD1601" s="58"/>
      <c r="AE1601" s="58"/>
      <c r="AF1601" s="58"/>
      <c r="AG1601" s="58"/>
      <c r="AH1601" s="58"/>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6"/>
      <c r="BZ1601" s="619" t="b">
        <f>CNTR_CalcRelevant=EUconst_NotRelevant</f>
        <v>0</v>
      </c>
    </row>
    <row r="1602" spans="1:78" s="142" customFormat="1" ht="15" hidden="1" customHeight="1" thickBot="1">
      <c r="A1602" s="808"/>
      <c r="B1602" s="166"/>
      <c r="C1602" s="166"/>
      <c r="D1602" s="166"/>
      <c r="E1602" s="1547" t="str">
        <f>IF(ISBLANK(E1601),"",IF(INDEX(B_InstallationDescription!$E$71:$E$145,MATCH(U1600,B_InstallationDescription!$D$71:$D$145,0))&gt;0,INDEX(B_InstallationDescription!$E$71:$E$145,MATCH(U1600,B_InstallationDescription!$D$71:$D$145,0)),""))</f>
        <v/>
      </c>
      <c r="F1602" s="1548"/>
      <c r="G1602" s="1548"/>
      <c r="H1602" s="1548"/>
      <c r="I1602" s="1548"/>
      <c r="J1602" s="1549"/>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4"/>
      <c r="AH1602" s="30"/>
      <c r="AI1602" s="30"/>
      <c r="AJ1602" s="504"/>
      <c r="AK1602" s="504"/>
      <c r="AL1602" s="342"/>
      <c r="AM1602" s="27" t="s">
        <v>308</v>
      </c>
      <c r="AN1602" s="505"/>
      <c r="AO1602" s="505"/>
      <c r="AP1602" s="30"/>
      <c r="AQ1602" s="30"/>
      <c r="AR1602" s="30"/>
      <c r="AS1602" s="30"/>
      <c r="AT1602" s="30"/>
      <c r="AU1602" s="30"/>
      <c r="AV1602" s="27" t="s">
        <v>315</v>
      </c>
      <c r="AW1602" s="30"/>
      <c r="AX1602" s="492"/>
      <c r="AY1602" s="30"/>
      <c r="AZ1602" s="30"/>
      <c r="BA1602" s="30"/>
      <c r="BB1602" s="27" t="s">
        <v>219</v>
      </c>
      <c r="BC1602" s="30"/>
      <c r="BD1602" s="30"/>
      <c r="BE1602" s="30"/>
      <c r="BF1602" s="30"/>
      <c r="BG1602" s="27"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0"/>
      <c r="BZ1602" s="30"/>
    </row>
    <row r="1603" spans="1:78" s="142" customFormat="1" ht="5.0999999999999996" hidden="1" customHeight="1">
      <c r="A1603" s="808"/>
      <c r="B1603" s="166"/>
      <c r="C1603" s="166"/>
      <c r="D1603" s="166"/>
      <c r="E1603" s="166"/>
      <c r="F1603" s="166"/>
      <c r="G1603" s="166"/>
      <c r="M1603" s="143"/>
      <c r="N1603" s="143"/>
      <c r="O1603" s="733"/>
      <c r="P1603" s="33"/>
      <c r="Q1603" s="33"/>
      <c r="R1603" s="33"/>
      <c r="S1603" s="23"/>
      <c r="T1603" s="23"/>
      <c r="U1603" s="23"/>
      <c r="V1603" s="78"/>
      <c r="W1603" s="30"/>
      <c r="X1603" s="30"/>
      <c r="Y1603" s="494"/>
      <c r="Z1603" s="30"/>
      <c r="AA1603" s="30"/>
      <c r="AB1603" s="30"/>
      <c r="AC1603" s="30"/>
      <c r="AD1603" s="30"/>
      <c r="AE1603" s="30"/>
      <c r="AF1603" s="58"/>
      <c r="AG1603" s="30"/>
      <c r="AH1603" s="30"/>
      <c r="AI1603" s="30"/>
      <c r="AJ1603" s="504"/>
      <c r="AK1603" s="504"/>
      <c r="AL1603" s="342"/>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hidden="1" customHeight="1" thickBot="1">
      <c r="A1604" s="808"/>
      <c r="B1604" s="166"/>
      <c r="C1604" s="166"/>
      <c r="D1604" s="166"/>
      <c r="E1604" s="1550" t="str">
        <f>IF(E1601="","",IF(T1602=TRUE,HYPERLINK("#JUMP_14",EUconst_MsgGoOnPFC),HYPERLINK("#JUMP_E_8",EUconst_FurtherGuidancePoint1)))</f>
        <v/>
      </c>
      <c r="F1604" s="1550"/>
      <c r="G1604" s="1550"/>
      <c r="H1604" s="1550"/>
      <c r="I1604" s="1550"/>
      <c r="J1604" s="1550"/>
      <c r="K1604" s="1550"/>
      <c r="L1604" s="1550"/>
      <c r="M1604" s="1550"/>
      <c r="N1604" s="143"/>
      <c r="O1604" s="733"/>
      <c r="P1604" s="33"/>
      <c r="Q1604" s="352" t="str">
        <f>EUconst_SumNonSustBioCO2 &amp; "_" &amp; K1601</f>
        <v>SUM_bioNonSustCO2_</v>
      </c>
      <c r="R1604" s="707"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4"/>
      <c r="AK1604" s="504"/>
      <c r="AL1604" s="342"/>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hidden="1" customHeight="1">
      <c r="A1605" s="808"/>
      <c r="B1605" s="166"/>
      <c r="C1605" s="166"/>
      <c r="D1605" s="166"/>
      <c r="E1605" s="166"/>
      <c r="F1605" s="166"/>
      <c r="G1605" s="166"/>
      <c r="M1605" s="143"/>
      <c r="N1605" s="143"/>
      <c r="O1605" s="733"/>
      <c r="P1605" s="23"/>
      <c r="Q1605" s="23"/>
      <c r="R1605" s="23"/>
      <c r="S1605" s="23"/>
      <c r="T1605" s="23"/>
      <c r="U1605" s="23"/>
      <c r="V1605" s="30"/>
      <c r="W1605" s="30"/>
      <c r="X1605" s="30"/>
      <c r="Y1605" s="494"/>
      <c r="Z1605" s="30"/>
      <c r="AA1605" s="30"/>
      <c r="AB1605" s="30"/>
      <c r="AC1605" s="30"/>
      <c r="AD1605" s="30"/>
      <c r="AE1605" s="30"/>
      <c r="AF1605" s="58"/>
      <c r="AG1605" s="30"/>
      <c r="AH1605" s="30"/>
      <c r="AI1605" s="30"/>
      <c r="AJ1605" s="504"/>
      <c r="AK1605" s="504"/>
      <c r="AL1605" s="342"/>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hidden="1" customHeight="1" thickBot="1">
      <c r="A1606" s="808"/>
      <c r="B1606" s="166"/>
      <c r="C1606" s="814" t="s">
        <v>4</v>
      </c>
      <c r="D1606" s="512" t="str">
        <f>Translations!$B$622</f>
        <v>VD:</v>
      </c>
      <c r="E1606" s="1560" t="str">
        <f>Translations!$B$667</f>
        <v>Ar veiklos duomenys gaunami sudedant išmatuotus kiekius (t. y. ne atliekant nuolatinius matavimus)?</v>
      </c>
      <c r="F1606" s="1560"/>
      <c r="G1606" s="1560"/>
      <c r="H1606" s="1560"/>
      <c r="I1606" s="1560"/>
      <c r="J1606" s="1560"/>
      <c r="K1606" s="1560"/>
      <c r="L1606" s="1179"/>
      <c r="M1606" s="507"/>
      <c r="O1606" s="733"/>
      <c r="P1606" s="23"/>
      <c r="Q1606" s="23"/>
      <c r="R1606" s="23"/>
      <c r="S1606" s="23"/>
      <c r="T1606" s="23"/>
      <c r="U1606" s="23"/>
      <c r="V1606" s="30"/>
      <c r="W1606" s="30"/>
      <c r="X1606" s="30"/>
      <c r="Y1606" s="494"/>
      <c r="Z1606" s="30"/>
      <c r="AA1606" s="30"/>
      <c r="AB1606" s="30"/>
      <c r="AC1606" s="1172" t="b">
        <f>AND(E1601&lt;&gt;"",T1602&lt;&gt;TRUE)</f>
        <v>0</v>
      </c>
      <c r="AD1606" s="30"/>
      <c r="AE1606" s="30"/>
      <c r="AF1606" s="58"/>
      <c r="AG1606" s="30"/>
      <c r="AH1606" s="30"/>
      <c r="AI1606" s="30"/>
      <c r="AJ1606" s="504"/>
      <c r="AK1606" s="504"/>
      <c r="AL1606" s="342"/>
      <c r="AM1606" s="30"/>
      <c r="AN1606" s="30"/>
      <c r="AO1606" s="30"/>
      <c r="AP1606" s="30"/>
      <c r="AQ1606" s="30"/>
      <c r="AR1606" s="30"/>
      <c r="AS1606" s="30"/>
      <c r="AT1606" s="1172"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2" t="b">
        <f>OR(CNTR_CalcRelevant=EUconst_NotRelevant,AND(COUNTA(CNTR_ListRelevantSections)&gt;0,OR(T1602=TRUE,E1601="")))</f>
        <v>1</v>
      </c>
    </row>
    <row r="1607" spans="1:78" s="142" customFormat="1" ht="4.5" hidden="1" customHeight="1">
      <c r="A1607" s="808"/>
      <c r="B1607" s="166"/>
      <c r="C1607" s="166"/>
      <c r="D1607" s="166"/>
      <c r="E1607" s="166"/>
      <c r="F1607" s="166"/>
      <c r="G1607" s="166"/>
      <c r="H1607" s="495"/>
      <c r="I1607" s="495"/>
      <c r="J1607" s="495"/>
      <c r="K1607" s="495"/>
      <c r="L1607" s="495"/>
      <c r="M1607" s="507"/>
      <c r="O1607" s="733"/>
      <c r="P1607" s="23"/>
      <c r="Q1607" s="23"/>
      <c r="R1607" s="23"/>
      <c r="S1607" s="23"/>
      <c r="T1607" s="23"/>
      <c r="U1607" s="23"/>
      <c r="V1607" s="30"/>
      <c r="W1607" s="30"/>
      <c r="X1607" s="30"/>
      <c r="Y1607" s="494"/>
      <c r="Z1607" s="30"/>
      <c r="AA1607" s="30"/>
      <c r="AB1607" s="30"/>
      <c r="AC1607" s="492"/>
      <c r="AD1607" s="30"/>
      <c r="AE1607" s="30"/>
      <c r="AF1607" s="58"/>
      <c r="AG1607" s="30"/>
      <c r="AH1607" s="30"/>
      <c r="AI1607" s="30"/>
      <c r="AJ1607" s="504"/>
      <c r="AK1607" s="504"/>
      <c r="AL1607" s="342"/>
      <c r="AM1607" s="30"/>
      <c r="AN1607" s="30"/>
      <c r="AO1607" s="30"/>
      <c r="AP1607" s="30"/>
      <c r="AQ1607" s="30"/>
      <c r="AR1607" s="30"/>
      <c r="AS1607" s="30"/>
      <c r="AT1607" s="492"/>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2"/>
    </row>
    <row r="1608" spans="1:78" s="142" customFormat="1" ht="12.75" hidden="1" customHeight="1" thickBot="1">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3"/>
      <c r="Q1608" s="23"/>
      <c r="R1608" s="23"/>
      <c r="S1608" s="23"/>
      <c r="T1608" s="23"/>
      <c r="U1608" s="23"/>
      <c r="V1608" s="30"/>
      <c r="W1608" s="30"/>
      <c r="X1608" s="30"/>
      <c r="Y1608" s="494"/>
      <c r="Z1608" s="30"/>
      <c r="AA1608" s="30"/>
      <c r="AB1608" s="30"/>
      <c r="AC1608" s="1172" t="b">
        <f>AC1606</f>
        <v>0</v>
      </c>
      <c r="AD1608" s="30"/>
      <c r="AE1608" s="30"/>
      <c r="AF1608" s="58"/>
      <c r="AG1608" s="30"/>
      <c r="AH1608" s="30"/>
      <c r="AI1608" s="30"/>
      <c r="AJ1608" s="504"/>
      <c r="AK1608" s="504"/>
      <c r="AL1608" s="342"/>
      <c r="AM1608" s="30"/>
      <c r="AN1608" s="30"/>
      <c r="AO1608" s="30"/>
      <c r="AP1608" s="30"/>
      <c r="AQ1608" s="30"/>
      <c r="AR1608" s="30"/>
      <c r="AS1608" s="30"/>
      <c r="AT1608" s="1172"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2" t="b">
        <f>OR(BZ1606,AND(NOT(ISBLANK(L1606)),L1606=FALSE))</f>
        <v>1</v>
      </c>
    </row>
    <row r="1609" spans="1:78" s="142" customFormat="1" ht="5.0999999999999996" hidden="1" customHeight="1">
      <c r="A1609" s="808"/>
      <c r="B1609" s="166"/>
      <c r="C1609" s="166"/>
      <c r="D1609" s="166"/>
      <c r="E1609" s="166"/>
      <c r="F1609" s="166"/>
      <c r="G1609" s="166"/>
      <c r="M1609" s="143"/>
      <c r="N1609" s="143"/>
      <c r="O1609" s="733"/>
      <c r="P1609" s="23"/>
      <c r="Q1609" s="23"/>
      <c r="R1609" s="23"/>
      <c r="S1609" s="23"/>
      <c r="T1609" s="23"/>
      <c r="U1609" s="23"/>
      <c r="V1609" s="30"/>
      <c r="W1609" s="30"/>
      <c r="X1609" s="30"/>
      <c r="Y1609" s="494"/>
      <c r="Z1609" s="30"/>
      <c r="AA1609" s="30"/>
      <c r="AB1609" s="30"/>
      <c r="AC1609" s="30"/>
      <c r="AD1609" s="30"/>
      <c r="AE1609" s="30"/>
      <c r="AF1609" s="58"/>
      <c r="AG1609" s="30"/>
      <c r="AH1609" s="30"/>
      <c r="AI1609" s="30"/>
      <c r="AJ1609" s="504"/>
      <c r="AK1609" s="504"/>
      <c r="AL1609" s="342"/>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hidden="1" customHeight="1" thickBot="1">
      <c r="A1610" s="808"/>
      <c r="B1610" s="166"/>
      <c r="C1610" s="166"/>
      <c r="D1610" s="166"/>
      <c r="E1610" s="166"/>
      <c r="F1610" s="506" t="str">
        <f>Translations!$B$333</f>
        <v>Pakopa</v>
      </c>
      <c r="G1610" s="1557" t="str">
        <f>Translations!$B$672</f>
        <v>pakopos aprašas</v>
      </c>
      <c r="H1610" s="1557"/>
      <c r="I1610" s="1555" t="str">
        <f>Translations!$B$158</f>
        <v>Vienetas</v>
      </c>
      <c r="J1610" s="1555"/>
      <c r="K1610" s="1555" t="str">
        <f>Translations!$B$673</f>
        <v>Vertė</v>
      </c>
      <c r="L1610" s="1555"/>
      <c r="M1610" s="507" t="str">
        <f>Translations!$B$610</f>
        <v>klaida</v>
      </c>
      <c r="O1610" s="733"/>
      <c r="P1610" s="508"/>
      <c r="Q1610" s="352" t="str">
        <f>EUconst_SumEnergyIN &amp; "_" &amp; K1601</f>
        <v>SUM_EnergyIN_</v>
      </c>
      <c r="R1610" s="399" t="str">
        <f>IF(OR(K1601="",T1602)=TRUE,"",INDEX(BC1616:BE1616,MATCH(K1601,BC1611:BE1611,0)))</f>
        <v/>
      </c>
      <c r="S1610" s="30"/>
      <c r="T1610" s="489"/>
      <c r="U1610" s="30"/>
      <c r="V1610" s="509" t="s">
        <v>303</v>
      </c>
      <c r="W1610" s="30"/>
      <c r="X1610" s="30"/>
      <c r="Y1610" s="494" t="s">
        <v>566</v>
      </c>
      <c r="Z1610" s="494" t="s">
        <v>318</v>
      </c>
      <c r="AA1610" s="30"/>
      <c r="AB1610" s="30"/>
      <c r="AC1610" s="505" t="s">
        <v>309</v>
      </c>
      <c r="AD1610" s="30"/>
      <c r="AE1610" s="30"/>
      <c r="AF1610" s="492" t="s">
        <v>305</v>
      </c>
      <c r="AG1610" s="492" t="s">
        <v>306</v>
      </c>
      <c r="AH1610" s="494" t="s">
        <v>304</v>
      </c>
      <c r="AI1610" s="504" t="s">
        <v>307</v>
      </c>
      <c r="AJ1610" s="504" t="s">
        <v>567</v>
      </c>
      <c r="AK1610" s="510" t="s">
        <v>311</v>
      </c>
      <c r="AL1610" s="342"/>
      <c r="AM1610" s="30"/>
      <c r="AN1610" s="492" t="s">
        <v>305</v>
      </c>
      <c r="AO1610" s="492" t="s">
        <v>306</v>
      </c>
      <c r="AP1610" s="511" t="s">
        <v>310</v>
      </c>
      <c r="AQ1610" s="504" t="s">
        <v>569</v>
      </c>
      <c r="AR1610" s="504" t="s">
        <v>568</v>
      </c>
      <c r="AS1610" s="510" t="s">
        <v>609</v>
      </c>
      <c r="AT1610" s="510" t="s">
        <v>609</v>
      </c>
      <c r="AU1610" s="30"/>
      <c r="AV1610" s="492"/>
      <c r="AW1610" s="492"/>
      <c r="AX1610" s="492" t="s">
        <v>321</v>
      </c>
      <c r="AY1610" s="492"/>
      <c r="AZ1610" s="492"/>
      <c r="BA1610" s="492"/>
      <c r="BB1610" s="492"/>
      <c r="BC1610" s="492"/>
      <c r="BD1610" s="492"/>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3" t="s">
        <v>262</v>
      </c>
    </row>
    <row r="1611" spans="1:78" s="142" customFormat="1" ht="10.5" hidden="1" customHeight="1" thickBot="1">
      <c r="A1611" s="808"/>
      <c r="B1611" s="166"/>
      <c r="C1611" s="777" t="s">
        <v>196</v>
      </c>
      <c r="D1611" s="512" t="str">
        <f>Translations!$B$622</f>
        <v>VD:</v>
      </c>
      <c r="E1611" s="513"/>
      <c r="F1611" s="402"/>
      <c r="G1611" s="1532" t="str">
        <f>IF(OR(ISBLANK(F1611),F1611=EUconst_NoTier),"",IF(Z1611=0,EUconst_NA,IF(ISERROR(Z1611),"",Z1611)))</f>
        <v/>
      </c>
      <c r="H1611" s="1533"/>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0"/>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0"/>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0"/>
      <c r="AV1611" s="492" t="s">
        <v>314</v>
      </c>
      <c r="AW1611" s="492" t="s">
        <v>319</v>
      </c>
      <c r="AX1611" s="524"/>
      <c r="AY1611" s="30" t="s">
        <v>542</v>
      </c>
      <c r="AZ1611" s="30"/>
      <c r="BA1611" s="30"/>
      <c r="BB1611" s="504"/>
      <c r="BC1611" s="493" t="str">
        <f>EUconst_Fuel</f>
        <v>Degimas</v>
      </c>
      <c r="BD1611" s="493" t="str">
        <f>EUconst_ProcessCarbonate</f>
        <v>Proceso metu išsiskiriančios ŠESD</v>
      </c>
      <c r="BE1611" s="493"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4" t="b">
        <f>BZ1606</f>
        <v>1</v>
      </c>
    </row>
    <row r="1612" spans="1:78" s="142" customFormat="1" ht="4.5" hidden="1" customHeight="1">
      <c r="A1612" s="808"/>
      <c r="B1612" s="166"/>
      <c r="C1612" s="814"/>
      <c r="D1612" s="306"/>
      <c r="F1612" s="143"/>
      <c r="G1612" s="143"/>
      <c r="H1612" s="143" t="s">
        <v>236</v>
      </c>
      <c r="I1612" s="525"/>
      <c r="J1612" s="525"/>
      <c r="K1612" s="143"/>
      <c r="L1612" s="143"/>
      <c r="M1612" s="710"/>
      <c r="O1612" s="733"/>
      <c r="P1612" s="33"/>
      <c r="Q1612" s="33"/>
      <c r="R1612" s="33"/>
      <c r="S1612" s="30"/>
      <c r="T1612" s="155"/>
      <c r="U1612" s="497"/>
      <c r="V1612" s="30"/>
      <c r="W1612" s="30"/>
      <c r="X1612" s="497"/>
      <c r="Y1612" s="526"/>
      <c r="Z1612" s="30"/>
      <c r="AA1612" s="30"/>
      <c r="AB1612" s="30"/>
      <c r="AC1612" s="30"/>
      <c r="AD1612" s="30"/>
      <c r="AE1612" s="30"/>
      <c r="AF1612" s="30"/>
      <c r="AG1612" s="30"/>
      <c r="AH1612" s="30"/>
      <c r="AI1612" s="30"/>
      <c r="AJ1612" s="30"/>
      <c r="AK1612" s="30"/>
      <c r="AL1612" s="342"/>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3"/>
    </row>
    <row r="1613" spans="1:78" s="142" customFormat="1" ht="12.75" hidden="1" customHeight="1" thickBot="1">
      <c r="A1613" s="808"/>
      <c r="B1613" s="166"/>
      <c r="C1613" s="814" t="s">
        <v>197</v>
      </c>
      <c r="D1613" s="512" t="str">
        <f>Translations!$B$634</f>
        <v>(prelim.) ITF:</v>
      </c>
      <c r="E1613" s="513"/>
      <c r="F1613" s="527"/>
      <c r="G1613" s="1532" t="str">
        <f t="shared" ref="G1613:G1619" si="399">IF(OR(ISBLANK(F1613),F1613=EUconst_NoTier),"",IF(Z1613=0,EUconst_NotApplicable,IF(ISERROR(Z1613),"",Z1613)))</f>
        <v/>
      </c>
      <c r="H1613" s="1556"/>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3"/>
      <c r="Q1613" s="33"/>
      <c r="R1613" s="33"/>
      <c r="S1613" s="30"/>
      <c r="T1613" s="530" t="str">
        <f>EUconst_CNTR_EF&amp;E1602</f>
        <v>EF_</v>
      </c>
      <c r="U1613" s="497"/>
      <c r="V1613" s="531" t="str">
        <f>V1611</f>
        <v/>
      </c>
      <c r="W1613" s="30"/>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0"/>
      <c r="AC1613" s="535" t="b">
        <f>AND(AC1611,Y1613&lt;&gt;EUconst_NA)</f>
        <v>0</v>
      </c>
      <c r="AD1613" s="30"/>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0"/>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0"/>
      <c r="BA1613" s="30"/>
      <c r="BB1613" s="547" t="s">
        <v>594</v>
      </c>
      <c r="BC1613" s="546" t="str">
        <f>IF(K1601=BC1611,AR1611*IF(AJ1613=EUconst_tCO2pTJ,(AR1614/1000),1)*AR1613*AR1615*AR1619,"")</f>
        <v/>
      </c>
      <c r="BD1613" s="524" t="str">
        <f>IF(K1601=BD1611,AR1611*AR1613*AR1616*AR1619,"")</f>
        <v/>
      </c>
      <c r="BE1613" s="523"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1" t="b">
        <f>OR(BZ1611,Y1613=EUconst_NA)</f>
        <v>1</v>
      </c>
    </row>
    <row r="1614" spans="1:78" s="142" customFormat="1" ht="12.75" hidden="1" customHeight="1" thickBot="1">
      <c r="A1614" s="808"/>
      <c r="B1614" s="166"/>
      <c r="C1614" s="814" t="s">
        <v>198</v>
      </c>
      <c r="D1614" s="512" t="str">
        <f>Translations!$B$636</f>
        <v>GŠV:</v>
      </c>
      <c r="E1614" s="513"/>
      <c r="F1614" s="548"/>
      <c r="G1614" s="1532" t="str">
        <f t="shared" si="399"/>
        <v/>
      </c>
      <c r="H1614" s="1533"/>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3"/>
      <c r="Q1614" s="33"/>
      <c r="R1614" s="33"/>
      <c r="S1614" s="30"/>
      <c r="T1614" s="552" t="str">
        <f>EUconst_CNTR_NCV&amp;E1602</f>
        <v>NCV_</v>
      </c>
      <c r="U1614" s="497"/>
      <c r="V1614" s="553" t="str">
        <f t="shared" ref="V1614:V1619" si="405">V1613</f>
        <v/>
      </c>
      <c r="W1614" s="30"/>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0"/>
      <c r="AC1614" s="557" t="b">
        <f>AND(AC1611,Y1614&lt;&gt;EUconst_NA)</f>
        <v>0</v>
      </c>
      <c r="AD1614" s="30"/>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0"/>
      <c r="AV1614" s="567" t="b">
        <f t="shared" si="402"/>
        <v>0</v>
      </c>
      <c r="AW1614" s="568" t="b">
        <f t="shared" si="403"/>
        <v>0</v>
      </c>
      <c r="AX1614" s="30"/>
      <c r="AY1614" s="553" t="b">
        <f t="shared" si="404"/>
        <v>0</v>
      </c>
      <c r="AZ1614" s="30"/>
      <c r="BA1614" s="30"/>
      <c r="BB1614" s="547" t="s">
        <v>595</v>
      </c>
      <c r="BC1614" s="546" t="str">
        <f>IF(K1601=BC1611,AR1611*IF(AJ1613=EUconst_tCO2pTJ,(AR1614/1000),1)*AR1613*AR1615*AR1618,"")</f>
        <v/>
      </c>
      <c r="BD1614" s="524" t="str">
        <f>IF(K1601=BD1611,AR1611*AR1613*AR1616*AR1618,"")</f>
        <v/>
      </c>
      <c r="BE1614" s="523"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3" t="b">
        <f>OR(BZ1611,Y1614=EUconst_NA)</f>
        <v>1</v>
      </c>
    </row>
    <row r="1615" spans="1:78" s="142" customFormat="1" ht="12.75" hidden="1" customHeight="1" thickBot="1">
      <c r="A1615" s="808"/>
      <c r="B1615" s="166"/>
      <c r="C1615" s="814" t="s">
        <v>199</v>
      </c>
      <c r="D1615" s="512" t="str">
        <f>Translations!$B$638</f>
        <v>OksK:</v>
      </c>
      <c r="E1615" s="513"/>
      <c r="F1615" s="548"/>
      <c r="G1615" s="1532" t="str">
        <f t="shared" si="399"/>
        <v/>
      </c>
      <c r="H1615" s="1533"/>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3"/>
      <c r="Q1615" s="33"/>
      <c r="R1615" s="33"/>
      <c r="S1615" s="30"/>
      <c r="T1615" s="552" t="str">
        <f>EUconst_CNTR_OxidationFactor&amp;E1602</f>
        <v>OxF_</v>
      </c>
      <c r="U1615" s="497"/>
      <c r="V1615" s="553" t="str">
        <f t="shared" si="405"/>
        <v/>
      </c>
      <c r="W1615" s="30"/>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0"/>
      <c r="AC1615" s="557" t="b">
        <f>AND(AC1611,Y1615&lt;&gt;EUconst_NA)</f>
        <v>0</v>
      </c>
      <c r="AD1615" s="30"/>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0"/>
      <c r="AV1615" s="567" t="b">
        <f t="shared" si="402"/>
        <v>0</v>
      </c>
      <c r="AW1615" s="568" t="b">
        <f t="shared" si="403"/>
        <v>0</v>
      </c>
      <c r="AX1615" s="30"/>
      <c r="AY1615" s="594" t="b">
        <f t="shared" si="404"/>
        <v>0</v>
      </c>
      <c r="AZ1615" s="531" t="b">
        <f>AR1615&gt;100%</f>
        <v>0</v>
      </c>
      <c r="BA1615" s="30"/>
      <c r="BB1615" s="547" t="s">
        <v>290</v>
      </c>
      <c r="BC1615" s="546" t="str">
        <f>IF(K1601=BC1611,AR1611*IF(AJ1613=EUconst_tCO2pTJ,(AR1614/1000),1)*AR1613*AR1615*(1-AR1618),"")</f>
        <v/>
      </c>
      <c r="BD1615" s="524" t="str">
        <f>IF(K1601=BD1611,AR1611*AR1613*AR1616*(1-AR1618),"")</f>
        <v/>
      </c>
      <c r="BE1615" s="523"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3" t="b">
        <f>OR(BZ1611,Y1615=EUconst_NA)</f>
        <v>1</v>
      </c>
    </row>
    <row r="1616" spans="1:78" s="142" customFormat="1" ht="12.75" hidden="1" customHeight="1" thickBot="1">
      <c r="A1616" s="808"/>
      <c r="B1616" s="166"/>
      <c r="C1616" s="814" t="s">
        <v>200</v>
      </c>
      <c r="D1616" s="512" t="str">
        <f>Translations!$B$639</f>
        <v>KonvK:</v>
      </c>
      <c r="E1616" s="513"/>
      <c r="F1616" s="548"/>
      <c r="G1616" s="1532" t="str">
        <f t="shared" si="399"/>
        <v/>
      </c>
      <c r="H1616" s="1533"/>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3"/>
      <c r="Q1616" s="33"/>
      <c r="R1616" s="33"/>
      <c r="S1616" s="30"/>
      <c r="T1616" s="552" t="str">
        <f>EUconst_CNTR_ConversionFactor&amp;E1602</f>
        <v>ConvF_</v>
      </c>
      <c r="U1616" s="497"/>
      <c r="V1616" s="553" t="str">
        <f t="shared" si="405"/>
        <v/>
      </c>
      <c r="W1616" s="30"/>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0"/>
      <c r="AC1616" s="557" t="b">
        <f>AND(AC1611,Y1616&lt;&gt;EUconst_NA)</f>
        <v>0</v>
      </c>
      <c r="AD1616" s="30"/>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0"/>
      <c r="AV1616" s="567" t="b">
        <f t="shared" si="402"/>
        <v>0</v>
      </c>
      <c r="AW1616" s="568" t="b">
        <f t="shared" si="403"/>
        <v>0</v>
      </c>
      <c r="AX1616" s="30"/>
      <c r="AY1616" s="594" t="b">
        <f t="shared" si="404"/>
        <v>0</v>
      </c>
      <c r="AZ1616" s="580" t="b">
        <f>AR1616&gt;100%</f>
        <v>0</v>
      </c>
      <c r="BA1616" s="30"/>
      <c r="BB1616" s="578" t="s">
        <v>487</v>
      </c>
      <c r="BC1616" s="579">
        <f>AR1611*AR1614/1000*(1-AR1618)</f>
        <v>0</v>
      </c>
      <c r="BD1616" s="580">
        <f>BC1616</f>
        <v>0</v>
      </c>
      <c r="BE1616" s="581">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3" t="b">
        <f>OR(BZ1611,Y1616=EUconst_NA)</f>
        <v>1</v>
      </c>
    </row>
    <row r="1617" spans="1:78" s="142" customFormat="1" ht="12.75" hidden="1" customHeight="1" thickBot="1">
      <c r="A1617" s="808"/>
      <c r="B1617" s="166"/>
      <c r="C1617" s="814" t="s">
        <v>329</v>
      </c>
      <c r="D1617" s="512" t="str">
        <f>Translations!$B$640</f>
        <v>AnglK:</v>
      </c>
      <c r="E1617" s="513"/>
      <c r="F1617" s="548"/>
      <c r="G1617" s="1532" t="str">
        <f t="shared" si="399"/>
        <v/>
      </c>
      <c r="H1617" s="1533"/>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3"/>
      <c r="Q1617" s="33"/>
      <c r="R1617" s="33"/>
      <c r="S1617" s="30"/>
      <c r="T1617" s="552" t="str">
        <f>EUconst_CNTR_CarbonContent&amp;E1602</f>
        <v>CarbC_</v>
      </c>
      <c r="U1617" s="497"/>
      <c r="V1617" s="553" t="str">
        <f t="shared" si="405"/>
        <v/>
      </c>
      <c r="W1617" s="30"/>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0"/>
      <c r="AC1617" s="557" t="b">
        <f>AND(AC1611,Y1617&lt;&gt;EUconst_NA)</f>
        <v>0</v>
      </c>
      <c r="AD1617" s="30"/>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0"/>
      <c r="AV1617" s="567" t="b">
        <f t="shared" si="402"/>
        <v>0</v>
      </c>
      <c r="AW1617" s="568" t="b">
        <f t="shared" si="403"/>
        <v>0</v>
      </c>
      <c r="AX1617" s="546" t="b">
        <f>OR(AND(AJ1611=EUconst_kNm3,AJ1617=EUconst_tCpt),AND(AJ1611=EUconst_t,AJ1617=EUconst_tCpkNm3))</f>
        <v>0</v>
      </c>
      <c r="AY1617" s="553" t="b">
        <f t="shared" si="404"/>
        <v>0</v>
      </c>
      <c r="AZ1617" s="30"/>
      <c r="BA1617" s="30"/>
      <c r="BB1617" s="578" t="s">
        <v>488</v>
      </c>
      <c r="BC1617" s="579">
        <f>AR1611*AR1614/1000*AR1618</f>
        <v>0</v>
      </c>
      <c r="BD1617" s="580">
        <f>BC1617</f>
        <v>0</v>
      </c>
      <c r="BE1617" s="581">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3" t="b">
        <f>OR(BZ1611,Y1617=EUconst_NA)</f>
        <v>1</v>
      </c>
    </row>
    <row r="1618" spans="1:78" s="142" customFormat="1" ht="12.75" hidden="1" customHeight="1">
      <c r="A1618" s="808"/>
      <c r="B1618" s="166"/>
      <c r="C1618" s="777" t="s">
        <v>330</v>
      </c>
      <c r="D1618" s="512" t="str">
        <f>Translations!$B$641</f>
        <v>BioC:</v>
      </c>
      <c r="E1618" s="513"/>
      <c r="F1618" s="548"/>
      <c r="G1618" s="1532" t="str">
        <f t="shared" si="399"/>
        <v/>
      </c>
      <c r="H1618" s="1533"/>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0"/>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0"/>
      <c r="AC1618" s="557" t="b">
        <f>AND(AC1611,Y1618&lt;&gt;EUconst_NA)</f>
        <v>0</v>
      </c>
      <c r="AD1618" s="30"/>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0"/>
      <c r="AV1618" s="567" t="b">
        <f t="shared" si="402"/>
        <v>0</v>
      </c>
      <c r="AW1618" s="568" t="b">
        <f t="shared" si="403"/>
        <v>0</v>
      </c>
      <c r="AX1618" s="30"/>
      <c r="AY1618" s="594" t="b">
        <f t="shared" si="404"/>
        <v>0</v>
      </c>
      <c r="AZ1618" s="531"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3" t="b">
        <f>OR(BZ1611,Y1618=EUconst_NA)</f>
        <v>1</v>
      </c>
    </row>
    <row r="1619" spans="1:78" s="142" customFormat="1" ht="12.75" hidden="1" customHeight="1" thickBot="1">
      <c r="A1619" s="808"/>
      <c r="B1619" s="166"/>
      <c r="C1619" s="777" t="s">
        <v>454</v>
      </c>
      <c r="D1619" s="512" t="str">
        <f>Translations!$B$647</f>
        <v>Netvar. BioC:</v>
      </c>
      <c r="E1619" s="513"/>
      <c r="F1619" s="597"/>
      <c r="G1619" s="1532" t="str">
        <f t="shared" si="399"/>
        <v/>
      </c>
      <c r="H1619" s="1533"/>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0"/>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0"/>
      <c r="AC1619" s="603" t="b">
        <f>AND(AC1611,Y1619&lt;&gt;EUconst_NA)</f>
        <v>0</v>
      </c>
      <c r="AD1619" s="30"/>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0"/>
      <c r="AV1619" s="613" t="b">
        <f t="shared" si="402"/>
        <v>0</v>
      </c>
      <c r="AW1619" s="614" t="b">
        <f t="shared" si="403"/>
        <v>0</v>
      </c>
      <c r="AX1619" s="30"/>
      <c r="AY1619" s="579" t="b">
        <f t="shared" si="404"/>
        <v>0</v>
      </c>
      <c r="AZ1619" s="580"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80" t="b">
        <f>OR(BZ1611,Y1619=EUconst_NA)</f>
        <v>1</v>
      </c>
    </row>
    <row r="1620" spans="1:78" s="142" customFormat="1" ht="5.0999999999999996" hidden="1" customHeight="1">
      <c r="A1620" s="808"/>
      <c r="B1620" s="166"/>
      <c r="C1620" s="166"/>
      <c r="D1620" s="180"/>
      <c r="O1620" s="733"/>
      <c r="P1620" s="33"/>
      <c r="Q1620" s="33"/>
      <c r="R1620" s="33"/>
      <c r="S1620" s="174"/>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hidden="1" customHeight="1">
      <c r="A1621" s="808"/>
      <c r="B1621" s="166"/>
      <c r="C1621" s="166"/>
      <c r="D1621" s="1558" t="str">
        <f>Translations!$B$674</f>
        <v>Pakopos galioja nuo:</v>
      </c>
      <c r="E1621" s="1558"/>
      <c r="F1621" s="1559"/>
      <c r="G1621" s="1052"/>
      <c r="H1621" s="615" t="str">
        <f>Translations!$B$675</f>
        <v>iki:</v>
      </c>
      <c r="I1621" s="1052"/>
      <c r="J1621" s="1536" t="str">
        <f>Translations!$B$676</f>
        <v>Atliekų katalogo numeris (jeigu taikytina):</v>
      </c>
      <c r="K1621" s="1537"/>
      <c r="L1621" s="1537"/>
      <c r="M1621" s="1538"/>
      <c r="N1621" s="1289"/>
      <c r="O1621" s="733"/>
      <c r="P1621" s="33"/>
      <c r="Q1621" s="33"/>
      <c r="R1621" s="33"/>
      <c r="S1621" s="1290"/>
      <c r="T1621" s="492"/>
      <c r="U1621" s="492"/>
      <c r="V1621" s="48" t="b">
        <f>IF(V1611="",FALSE,INDEX(CNTR_IsWaste,MATCH(V1611,MSParameters!$A$218:$A$376,0)))</f>
        <v>0</v>
      </c>
      <c r="W1621" s="1290"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hidden="1" customHeight="1">
      <c r="A1622" s="808"/>
      <c r="B1622" s="166"/>
      <c r="C1622" s="166"/>
      <c r="D1622" s="615"/>
      <c r="E1622" s="495"/>
      <c r="F1622" s="495"/>
      <c r="G1622" s="495"/>
      <c r="H1622" s="495"/>
      <c r="I1622" s="495"/>
      <c r="J1622" s="495"/>
      <c r="K1622" s="495"/>
      <c r="L1622" s="495"/>
      <c r="M1622" s="495"/>
      <c r="N1622" s="495"/>
      <c r="O1622" s="733"/>
      <c r="P1622" s="33"/>
      <c r="Q1622" s="33"/>
      <c r="R1622" s="33"/>
      <c r="S1622" s="174"/>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hidden="1" customHeight="1">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3"/>
      <c r="Q1623" s="33"/>
      <c r="R1623" s="33"/>
      <c r="S1623" s="174"/>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hidden="1" customHeight="1">
      <c r="A1624" s="815"/>
      <c r="D1624" s="180"/>
      <c r="O1624" s="573"/>
      <c r="P1624" s="497"/>
      <c r="Q1624" s="497"/>
      <c r="R1624" s="497"/>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hidden="1">
      <c r="A1625" s="815"/>
      <c r="D1625" s="1534" t="str">
        <f>Translations!$B$160</f>
        <v>Pastabos:</v>
      </c>
      <c r="E1625" s="1535"/>
      <c r="F1625" s="1539"/>
      <c r="G1625" s="1540"/>
      <c r="H1625" s="1540"/>
      <c r="I1625" s="1540"/>
      <c r="J1625" s="1540"/>
      <c r="K1625" s="1540"/>
      <c r="L1625" s="1540"/>
      <c r="M1625" s="1540"/>
      <c r="N1625" s="1541"/>
      <c r="O1625" s="573"/>
      <c r="P1625" s="497"/>
      <c r="Q1625" s="497"/>
      <c r="R1625" s="497"/>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c r="A1626" s="808"/>
      <c r="B1626" s="495"/>
      <c r="C1626" s="499"/>
      <c r="D1626" s="500"/>
      <c r="E1626" s="501"/>
      <c r="F1626" s="499"/>
      <c r="G1626" s="502"/>
      <c r="H1626" s="502"/>
      <c r="I1626" s="502"/>
      <c r="J1626" s="502"/>
      <c r="K1626" s="502"/>
      <c r="L1626" s="502"/>
      <c r="M1626" s="502"/>
      <c r="N1626" s="502"/>
      <c r="O1626" s="740"/>
      <c r="P1626" s="494"/>
      <c r="Q1626" s="494"/>
      <c r="R1626" s="494"/>
      <c r="S1626" s="58"/>
      <c r="T1626" s="58"/>
      <c r="U1626" s="498"/>
      <c r="V1626" s="58"/>
      <c r="W1626" s="58"/>
      <c r="X1626" s="49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c r="A1627" s="813"/>
      <c r="B1627" s="495"/>
      <c r="C1627" s="495"/>
      <c r="D1627" s="180"/>
      <c r="E1627" s="496"/>
      <c r="F1627" s="495"/>
      <c r="G1627" s="487"/>
      <c r="H1627" s="487"/>
      <c r="I1627" s="487"/>
      <c r="J1627" s="487"/>
      <c r="K1627" s="495"/>
      <c r="L1627" s="487"/>
      <c r="M1627" s="487"/>
      <c r="N1627" s="487"/>
      <c r="O1627" s="740"/>
      <c r="P1627" s="494"/>
      <c r="Q1627" s="494"/>
      <c r="R1627" s="494"/>
      <c r="S1627" s="23"/>
      <c r="T1627" s="27" t="str">
        <f>IF(ISBLANK(E1628),"",MATCH(E1628,CNTR_SourceStreamNames,0))</f>
        <v/>
      </c>
      <c r="U1627" s="618"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1"/>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3" t="s">
        <v>262</v>
      </c>
    </row>
    <row r="1628" spans="1:78" s="142" customFormat="1" ht="15" hidden="1" customHeight="1" thickBot="1">
      <c r="A1628" s="869" t="str">
        <f>IF(E1628="","","PRINT")</f>
        <v/>
      </c>
      <c r="B1628" s="166"/>
      <c r="C1628" s="617">
        <f>C1601+1</f>
        <v>59</v>
      </c>
      <c r="D1628" s="166"/>
      <c r="E1628" s="1542"/>
      <c r="F1628" s="1543"/>
      <c r="G1628" s="1543"/>
      <c r="H1628" s="1543"/>
      <c r="I1628" s="1543"/>
      <c r="J1628" s="1544"/>
      <c r="K1628" s="1545" t="str">
        <f>IF(E1629="","",INDEX(EUwideConstants!$F$353:$F$394,MATCH(E1629,EUConst_TierActivityListNames,0)))</f>
        <v/>
      </c>
      <c r="L1628" s="1546"/>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3"/>
      <c r="T1628" s="509" t="s">
        <v>393</v>
      </c>
      <c r="U1628" s="23"/>
      <c r="V1628" s="78"/>
      <c r="W1628" s="56"/>
      <c r="X1628" s="58"/>
      <c r="Y1628" s="58"/>
      <c r="Z1628" s="58"/>
      <c r="AA1628" s="58"/>
      <c r="AB1628" s="58"/>
      <c r="AC1628" s="58"/>
      <c r="AD1628" s="58"/>
      <c r="AE1628" s="58"/>
      <c r="AF1628" s="58"/>
      <c r="AG1628" s="58"/>
      <c r="AH1628" s="58"/>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6"/>
      <c r="BZ1628" s="619" t="b">
        <f>CNTR_CalcRelevant=EUconst_NotRelevant</f>
        <v>0</v>
      </c>
    </row>
    <row r="1629" spans="1:78" s="142" customFormat="1" ht="15" hidden="1" customHeight="1" thickBot="1">
      <c r="A1629" s="808"/>
      <c r="B1629" s="166"/>
      <c r="C1629" s="166"/>
      <c r="D1629" s="166"/>
      <c r="E1629" s="1547" t="str">
        <f>IF(ISBLANK(E1628),"",IF(INDEX(B_InstallationDescription!$E$71:$E$145,MATCH(U1627,B_InstallationDescription!$D$71:$D$145,0))&gt;0,INDEX(B_InstallationDescription!$E$71:$E$145,MATCH(U1627,B_InstallationDescription!$D$71:$D$145,0)),""))</f>
        <v/>
      </c>
      <c r="F1629" s="1548"/>
      <c r="G1629" s="1548"/>
      <c r="H1629" s="1548"/>
      <c r="I1629" s="1548"/>
      <c r="J1629" s="1549"/>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4"/>
      <c r="AH1629" s="30"/>
      <c r="AI1629" s="30"/>
      <c r="AJ1629" s="504"/>
      <c r="AK1629" s="504"/>
      <c r="AL1629" s="342"/>
      <c r="AM1629" s="27" t="s">
        <v>308</v>
      </c>
      <c r="AN1629" s="505"/>
      <c r="AO1629" s="505"/>
      <c r="AP1629" s="30"/>
      <c r="AQ1629" s="30"/>
      <c r="AR1629" s="30"/>
      <c r="AS1629" s="30"/>
      <c r="AT1629" s="30"/>
      <c r="AU1629" s="30"/>
      <c r="AV1629" s="27" t="s">
        <v>315</v>
      </c>
      <c r="AW1629" s="30"/>
      <c r="AX1629" s="492"/>
      <c r="AY1629" s="30"/>
      <c r="AZ1629" s="30"/>
      <c r="BA1629" s="30"/>
      <c r="BB1629" s="27" t="s">
        <v>219</v>
      </c>
      <c r="BC1629" s="30"/>
      <c r="BD1629" s="30"/>
      <c r="BE1629" s="30"/>
      <c r="BF1629" s="30"/>
      <c r="BG1629" s="27"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0"/>
      <c r="BZ1629" s="30"/>
    </row>
    <row r="1630" spans="1:78" s="142" customFormat="1" ht="5.0999999999999996" hidden="1" customHeight="1">
      <c r="A1630" s="808"/>
      <c r="B1630" s="166"/>
      <c r="C1630" s="166"/>
      <c r="D1630" s="166"/>
      <c r="E1630" s="166"/>
      <c r="F1630" s="166"/>
      <c r="G1630" s="166"/>
      <c r="M1630" s="143"/>
      <c r="N1630" s="143"/>
      <c r="O1630" s="733"/>
      <c r="P1630" s="33"/>
      <c r="Q1630" s="33"/>
      <c r="R1630" s="33"/>
      <c r="S1630" s="23"/>
      <c r="T1630" s="23"/>
      <c r="U1630" s="23"/>
      <c r="V1630" s="78"/>
      <c r="W1630" s="30"/>
      <c r="X1630" s="30"/>
      <c r="Y1630" s="494"/>
      <c r="Z1630" s="30"/>
      <c r="AA1630" s="30"/>
      <c r="AB1630" s="30"/>
      <c r="AC1630" s="30"/>
      <c r="AD1630" s="30"/>
      <c r="AE1630" s="30"/>
      <c r="AF1630" s="58"/>
      <c r="AG1630" s="30"/>
      <c r="AH1630" s="30"/>
      <c r="AI1630" s="30"/>
      <c r="AJ1630" s="504"/>
      <c r="AK1630" s="504"/>
      <c r="AL1630" s="342"/>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hidden="1" customHeight="1" thickBot="1">
      <c r="A1631" s="808"/>
      <c r="B1631" s="166"/>
      <c r="C1631" s="166"/>
      <c r="D1631" s="166"/>
      <c r="E1631" s="1550" t="str">
        <f>IF(E1628="","",IF(T1629=TRUE,HYPERLINK("#JUMP_14",EUconst_MsgGoOnPFC),HYPERLINK("#JUMP_E_8",EUconst_FurtherGuidancePoint1)))</f>
        <v/>
      </c>
      <c r="F1631" s="1550"/>
      <c r="G1631" s="1550"/>
      <c r="H1631" s="1550"/>
      <c r="I1631" s="1550"/>
      <c r="J1631" s="1550"/>
      <c r="K1631" s="1550"/>
      <c r="L1631" s="1550"/>
      <c r="M1631" s="1550"/>
      <c r="N1631" s="143"/>
      <c r="O1631" s="733"/>
      <c r="P1631" s="33"/>
      <c r="Q1631" s="352" t="str">
        <f>EUconst_SumNonSustBioCO2 &amp; "_" &amp; K1628</f>
        <v>SUM_bioNonSustCO2_</v>
      </c>
      <c r="R1631" s="707"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4"/>
      <c r="AK1631" s="504"/>
      <c r="AL1631" s="342"/>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hidden="1" customHeight="1">
      <c r="A1632" s="808"/>
      <c r="B1632" s="166"/>
      <c r="C1632" s="166"/>
      <c r="D1632" s="166"/>
      <c r="E1632" s="166"/>
      <c r="F1632" s="166"/>
      <c r="G1632" s="166"/>
      <c r="M1632" s="143"/>
      <c r="N1632" s="143"/>
      <c r="O1632" s="733"/>
      <c r="P1632" s="23"/>
      <c r="Q1632" s="23"/>
      <c r="R1632" s="23"/>
      <c r="S1632" s="23"/>
      <c r="T1632" s="23"/>
      <c r="U1632" s="23"/>
      <c r="V1632" s="30"/>
      <c r="W1632" s="30"/>
      <c r="X1632" s="30"/>
      <c r="Y1632" s="494"/>
      <c r="Z1632" s="30"/>
      <c r="AA1632" s="30"/>
      <c r="AB1632" s="30"/>
      <c r="AC1632" s="30"/>
      <c r="AD1632" s="30"/>
      <c r="AE1632" s="30"/>
      <c r="AF1632" s="58"/>
      <c r="AG1632" s="30"/>
      <c r="AH1632" s="30"/>
      <c r="AI1632" s="30"/>
      <c r="AJ1632" s="504"/>
      <c r="AK1632" s="504"/>
      <c r="AL1632" s="342"/>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hidden="1" customHeight="1" thickBot="1">
      <c r="A1633" s="808"/>
      <c r="B1633" s="166"/>
      <c r="C1633" s="814" t="s">
        <v>4</v>
      </c>
      <c r="D1633" s="512" t="str">
        <f>Translations!$B$622</f>
        <v>VD:</v>
      </c>
      <c r="E1633" s="1560" t="str">
        <f>Translations!$B$667</f>
        <v>Ar veiklos duomenys gaunami sudedant išmatuotus kiekius (t. y. ne atliekant nuolatinius matavimus)?</v>
      </c>
      <c r="F1633" s="1560"/>
      <c r="G1633" s="1560"/>
      <c r="H1633" s="1560"/>
      <c r="I1633" s="1560"/>
      <c r="J1633" s="1560"/>
      <c r="K1633" s="1560"/>
      <c r="L1633" s="1179"/>
      <c r="M1633" s="507"/>
      <c r="O1633" s="733"/>
      <c r="P1633" s="23"/>
      <c r="Q1633" s="23"/>
      <c r="R1633" s="23"/>
      <c r="S1633" s="23"/>
      <c r="T1633" s="23"/>
      <c r="U1633" s="23"/>
      <c r="V1633" s="30"/>
      <c r="W1633" s="30"/>
      <c r="X1633" s="30"/>
      <c r="Y1633" s="494"/>
      <c r="Z1633" s="30"/>
      <c r="AA1633" s="30"/>
      <c r="AB1633" s="30"/>
      <c r="AC1633" s="1172" t="b">
        <f>AND(E1628&lt;&gt;"",T1629&lt;&gt;TRUE)</f>
        <v>0</v>
      </c>
      <c r="AD1633" s="30"/>
      <c r="AE1633" s="30"/>
      <c r="AF1633" s="58"/>
      <c r="AG1633" s="30"/>
      <c r="AH1633" s="30"/>
      <c r="AI1633" s="30"/>
      <c r="AJ1633" s="504"/>
      <c r="AK1633" s="504"/>
      <c r="AL1633" s="342"/>
      <c r="AM1633" s="30"/>
      <c r="AN1633" s="30"/>
      <c r="AO1633" s="30"/>
      <c r="AP1633" s="30"/>
      <c r="AQ1633" s="30"/>
      <c r="AR1633" s="30"/>
      <c r="AS1633" s="30"/>
      <c r="AT1633" s="1172"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2" t="b">
        <f>OR(CNTR_CalcRelevant=EUconst_NotRelevant,AND(COUNTA(CNTR_ListRelevantSections)&gt;0,OR(T1629=TRUE,E1628="")))</f>
        <v>1</v>
      </c>
    </row>
    <row r="1634" spans="1:78" s="142" customFormat="1" ht="5.0999999999999996" hidden="1" customHeight="1">
      <c r="A1634" s="808"/>
      <c r="B1634" s="166"/>
      <c r="C1634" s="166"/>
      <c r="D1634" s="166"/>
      <c r="E1634" s="166"/>
      <c r="F1634" s="166"/>
      <c r="G1634" s="166"/>
      <c r="H1634" s="495"/>
      <c r="I1634" s="495"/>
      <c r="J1634" s="495"/>
      <c r="K1634" s="495"/>
      <c r="L1634" s="495"/>
      <c r="M1634" s="507"/>
      <c r="O1634" s="733"/>
      <c r="P1634" s="23"/>
      <c r="Q1634" s="23"/>
      <c r="R1634" s="23"/>
      <c r="S1634" s="23"/>
      <c r="T1634" s="23"/>
      <c r="U1634" s="23"/>
      <c r="V1634" s="30"/>
      <c r="W1634" s="30"/>
      <c r="X1634" s="30"/>
      <c r="Y1634" s="494"/>
      <c r="Z1634" s="30"/>
      <c r="AA1634" s="30"/>
      <c r="AB1634" s="30"/>
      <c r="AC1634" s="492"/>
      <c r="AD1634" s="30"/>
      <c r="AE1634" s="30"/>
      <c r="AF1634" s="58"/>
      <c r="AG1634" s="30"/>
      <c r="AH1634" s="30"/>
      <c r="AI1634" s="30"/>
      <c r="AJ1634" s="504"/>
      <c r="AK1634" s="504"/>
      <c r="AL1634" s="342"/>
      <c r="AM1634" s="30"/>
      <c r="AN1634" s="30"/>
      <c r="AO1634" s="30"/>
      <c r="AP1634" s="30"/>
      <c r="AQ1634" s="30"/>
      <c r="AR1634" s="30"/>
      <c r="AS1634" s="30"/>
      <c r="AT1634" s="492"/>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2"/>
    </row>
    <row r="1635" spans="1:78" s="142" customFormat="1" ht="12.75" hidden="1" customHeight="1" thickBot="1">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3"/>
      <c r="Q1635" s="23"/>
      <c r="R1635" s="23"/>
      <c r="S1635" s="23"/>
      <c r="T1635" s="23"/>
      <c r="U1635" s="23"/>
      <c r="V1635" s="30"/>
      <c r="W1635" s="30"/>
      <c r="X1635" s="30"/>
      <c r="Y1635" s="494"/>
      <c r="Z1635" s="30"/>
      <c r="AA1635" s="30"/>
      <c r="AB1635" s="30"/>
      <c r="AC1635" s="1172" t="b">
        <f>AC1633</f>
        <v>0</v>
      </c>
      <c r="AD1635" s="30"/>
      <c r="AE1635" s="30"/>
      <c r="AF1635" s="58"/>
      <c r="AG1635" s="30"/>
      <c r="AH1635" s="30"/>
      <c r="AI1635" s="30"/>
      <c r="AJ1635" s="504"/>
      <c r="AK1635" s="504"/>
      <c r="AL1635" s="342"/>
      <c r="AM1635" s="30"/>
      <c r="AN1635" s="30"/>
      <c r="AO1635" s="30"/>
      <c r="AP1635" s="30"/>
      <c r="AQ1635" s="30"/>
      <c r="AR1635" s="30"/>
      <c r="AS1635" s="30"/>
      <c r="AT1635" s="1172"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2" t="b">
        <f>OR(BZ1633,AND(NOT(ISBLANK(L1633)),L1633=FALSE))</f>
        <v>1</v>
      </c>
    </row>
    <row r="1636" spans="1:78" s="142" customFormat="1" ht="5.0999999999999996" hidden="1" customHeight="1">
      <c r="A1636" s="808"/>
      <c r="B1636" s="166"/>
      <c r="C1636" s="166"/>
      <c r="D1636" s="166"/>
      <c r="E1636" s="166"/>
      <c r="F1636" s="166"/>
      <c r="G1636" s="166"/>
      <c r="M1636" s="143"/>
      <c r="N1636" s="143"/>
      <c r="O1636" s="733"/>
      <c r="P1636" s="23"/>
      <c r="Q1636" s="23"/>
      <c r="R1636" s="23"/>
      <c r="S1636" s="23"/>
      <c r="T1636" s="23"/>
      <c r="U1636" s="23"/>
      <c r="V1636" s="30"/>
      <c r="W1636" s="30"/>
      <c r="X1636" s="30"/>
      <c r="Y1636" s="494"/>
      <c r="Z1636" s="30"/>
      <c r="AA1636" s="30"/>
      <c r="AB1636" s="30"/>
      <c r="AC1636" s="30"/>
      <c r="AD1636" s="30"/>
      <c r="AE1636" s="30"/>
      <c r="AF1636" s="58"/>
      <c r="AG1636" s="30"/>
      <c r="AH1636" s="30"/>
      <c r="AI1636" s="30"/>
      <c r="AJ1636" s="504"/>
      <c r="AK1636" s="504"/>
      <c r="AL1636" s="342"/>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hidden="1" customHeight="1" thickBot="1">
      <c r="A1637" s="808"/>
      <c r="B1637" s="166"/>
      <c r="C1637" s="166"/>
      <c r="D1637" s="166"/>
      <c r="E1637" s="166"/>
      <c r="F1637" s="506" t="str">
        <f>Translations!$B$333</f>
        <v>Pakopa</v>
      </c>
      <c r="G1637" s="1557" t="str">
        <f>Translations!$B$672</f>
        <v>pakopos aprašas</v>
      </c>
      <c r="H1637" s="1557"/>
      <c r="I1637" s="1555" t="str">
        <f>Translations!$B$158</f>
        <v>Vienetas</v>
      </c>
      <c r="J1637" s="1555"/>
      <c r="K1637" s="1555" t="str">
        <f>Translations!$B$673</f>
        <v>Vertė</v>
      </c>
      <c r="L1637" s="1555"/>
      <c r="M1637" s="507" t="str">
        <f>Translations!$B$610</f>
        <v>klaida</v>
      </c>
      <c r="O1637" s="733"/>
      <c r="P1637" s="508"/>
      <c r="Q1637" s="352" t="str">
        <f>EUconst_SumEnergyIN &amp; "_" &amp; K1628</f>
        <v>SUM_EnergyIN_</v>
      </c>
      <c r="R1637" s="399" t="str">
        <f>IF(OR(K1628="",T1629)=TRUE,"",INDEX(BC1643:BE1643,MATCH(K1628,BC1638:BE1638,0)))</f>
        <v/>
      </c>
      <c r="S1637" s="30"/>
      <c r="T1637" s="489"/>
      <c r="U1637" s="30"/>
      <c r="V1637" s="509" t="s">
        <v>303</v>
      </c>
      <c r="W1637" s="30"/>
      <c r="X1637" s="30"/>
      <c r="Y1637" s="494" t="s">
        <v>566</v>
      </c>
      <c r="Z1637" s="494" t="s">
        <v>318</v>
      </c>
      <c r="AA1637" s="30"/>
      <c r="AB1637" s="30"/>
      <c r="AC1637" s="505" t="s">
        <v>309</v>
      </c>
      <c r="AD1637" s="30"/>
      <c r="AE1637" s="30"/>
      <c r="AF1637" s="492" t="s">
        <v>305</v>
      </c>
      <c r="AG1637" s="492" t="s">
        <v>306</v>
      </c>
      <c r="AH1637" s="494" t="s">
        <v>304</v>
      </c>
      <c r="AI1637" s="504" t="s">
        <v>307</v>
      </c>
      <c r="AJ1637" s="504" t="s">
        <v>567</v>
      </c>
      <c r="AK1637" s="510" t="s">
        <v>311</v>
      </c>
      <c r="AL1637" s="342"/>
      <c r="AM1637" s="30"/>
      <c r="AN1637" s="492" t="s">
        <v>305</v>
      </c>
      <c r="AO1637" s="492" t="s">
        <v>306</v>
      </c>
      <c r="AP1637" s="511" t="s">
        <v>310</v>
      </c>
      <c r="AQ1637" s="504" t="s">
        <v>569</v>
      </c>
      <c r="AR1637" s="504" t="s">
        <v>568</v>
      </c>
      <c r="AS1637" s="510" t="s">
        <v>609</v>
      </c>
      <c r="AT1637" s="510" t="s">
        <v>609</v>
      </c>
      <c r="AU1637" s="30"/>
      <c r="AV1637" s="492"/>
      <c r="AW1637" s="492"/>
      <c r="AX1637" s="492" t="s">
        <v>321</v>
      </c>
      <c r="AY1637" s="492"/>
      <c r="AZ1637" s="492"/>
      <c r="BA1637" s="492"/>
      <c r="BB1637" s="492"/>
      <c r="BC1637" s="492"/>
      <c r="BD1637" s="492"/>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3" t="s">
        <v>262</v>
      </c>
    </row>
    <row r="1638" spans="1:78" s="142" customFormat="1" ht="12.75" hidden="1" customHeight="1" thickBot="1">
      <c r="A1638" s="808"/>
      <c r="B1638" s="166"/>
      <c r="C1638" s="777" t="s">
        <v>196</v>
      </c>
      <c r="D1638" s="512" t="str">
        <f>Translations!$B$622</f>
        <v>VD:</v>
      </c>
      <c r="E1638" s="513"/>
      <c r="F1638" s="402"/>
      <c r="G1638" s="1532" t="str">
        <f>IF(OR(ISBLANK(F1638),F1638=EUconst_NoTier),"",IF(Z1638=0,EUconst_NA,IF(ISERROR(Z1638),"",Z1638)))</f>
        <v/>
      </c>
      <c r="H1638" s="1533"/>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0"/>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0"/>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0"/>
      <c r="AV1638" s="492" t="s">
        <v>314</v>
      </c>
      <c r="AW1638" s="492" t="s">
        <v>319</v>
      </c>
      <c r="AX1638" s="524"/>
      <c r="AY1638" s="30" t="s">
        <v>542</v>
      </c>
      <c r="AZ1638" s="30"/>
      <c r="BA1638" s="30"/>
      <c r="BB1638" s="504"/>
      <c r="BC1638" s="493" t="str">
        <f>EUconst_Fuel</f>
        <v>Degimas</v>
      </c>
      <c r="BD1638" s="493" t="str">
        <f>EUconst_ProcessCarbonate</f>
        <v>Proceso metu išsiskiriančios ŠESD</v>
      </c>
      <c r="BE1638" s="493"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4" t="b">
        <f>BZ1633</f>
        <v>1</v>
      </c>
    </row>
    <row r="1639" spans="1:78" s="142" customFormat="1" ht="4.5" hidden="1" customHeight="1">
      <c r="A1639" s="808"/>
      <c r="B1639" s="166"/>
      <c r="C1639" s="814"/>
      <c r="D1639" s="306"/>
      <c r="F1639" s="143"/>
      <c r="G1639" s="143"/>
      <c r="H1639" s="143" t="s">
        <v>236</v>
      </c>
      <c r="I1639" s="525"/>
      <c r="J1639" s="525"/>
      <c r="K1639" s="143"/>
      <c r="L1639" s="143"/>
      <c r="M1639" s="710"/>
      <c r="O1639" s="733"/>
      <c r="P1639" s="33"/>
      <c r="Q1639" s="33"/>
      <c r="R1639" s="33"/>
      <c r="S1639" s="30"/>
      <c r="T1639" s="155"/>
      <c r="U1639" s="497"/>
      <c r="V1639" s="30"/>
      <c r="W1639" s="30"/>
      <c r="X1639" s="497"/>
      <c r="Y1639" s="526"/>
      <c r="Z1639" s="30"/>
      <c r="AA1639" s="30"/>
      <c r="AB1639" s="30"/>
      <c r="AC1639" s="30"/>
      <c r="AD1639" s="30"/>
      <c r="AE1639" s="30"/>
      <c r="AF1639" s="30"/>
      <c r="AG1639" s="30"/>
      <c r="AH1639" s="30"/>
      <c r="AI1639" s="30"/>
      <c r="AJ1639" s="30"/>
      <c r="AK1639" s="30"/>
      <c r="AL1639" s="342"/>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3"/>
    </row>
    <row r="1640" spans="1:78" s="142" customFormat="1" ht="12.75" hidden="1" customHeight="1" thickBot="1">
      <c r="A1640" s="808"/>
      <c r="B1640" s="166"/>
      <c r="C1640" s="814" t="s">
        <v>197</v>
      </c>
      <c r="D1640" s="512" t="str">
        <f>Translations!$B$634</f>
        <v>(prelim.) ITF:</v>
      </c>
      <c r="E1640" s="513"/>
      <c r="F1640" s="527"/>
      <c r="G1640" s="1532" t="str">
        <f t="shared" ref="G1640:G1646" si="406">IF(OR(ISBLANK(F1640),F1640=EUconst_NoTier),"",IF(Z1640=0,EUconst_NotApplicable,IF(ISERROR(Z1640),"",Z1640)))</f>
        <v/>
      </c>
      <c r="H1640" s="1556"/>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3"/>
      <c r="Q1640" s="33"/>
      <c r="R1640" s="33"/>
      <c r="S1640" s="30"/>
      <c r="T1640" s="530" t="str">
        <f>EUconst_CNTR_EF&amp;E1629</f>
        <v>EF_</v>
      </c>
      <c r="U1640" s="497"/>
      <c r="V1640" s="531" t="str">
        <f>V1638</f>
        <v/>
      </c>
      <c r="W1640" s="30"/>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0"/>
      <c r="AC1640" s="535" t="b">
        <f>AND(AC1638,Y1640&lt;&gt;EUconst_NA)</f>
        <v>0</v>
      </c>
      <c r="AD1640" s="30"/>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0"/>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0"/>
      <c r="BA1640" s="30"/>
      <c r="BB1640" s="547" t="s">
        <v>594</v>
      </c>
      <c r="BC1640" s="546" t="str">
        <f>IF(K1628=BC1638,AR1638*IF(AJ1640=EUconst_tCO2pTJ,(AR1641/1000),1)*AR1640*AR1642*AR1646,"")</f>
        <v/>
      </c>
      <c r="BD1640" s="524" t="str">
        <f>IF(K1628=BD1638,AR1638*AR1640*AR1643*AR1646,"")</f>
        <v/>
      </c>
      <c r="BE1640" s="523"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1" t="b">
        <f>OR(BZ1638,Y1640=EUconst_NA)</f>
        <v>1</v>
      </c>
    </row>
    <row r="1641" spans="1:78" s="142" customFormat="1" ht="12.75" hidden="1" customHeight="1" thickBot="1">
      <c r="A1641" s="808"/>
      <c r="B1641" s="166"/>
      <c r="C1641" s="814" t="s">
        <v>198</v>
      </c>
      <c r="D1641" s="512" t="str">
        <f>Translations!$B$636</f>
        <v>GŠV:</v>
      </c>
      <c r="E1641" s="513"/>
      <c r="F1641" s="548"/>
      <c r="G1641" s="1532" t="str">
        <f t="shared" si="406"/>
        <v/>
      </c>
      <c r="H1641" s="1533"/>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3"/>
      <c r="Q1641" s="33"/>
      <c r="R1641" s="33"/>
      <c r="S1641" s="30"/>
      <c r="T1641" s="552" t="str">
        <f>EUconst_CNTR_NCV&amp;E1629</f>
        <v>NCV_</v>
      </c>
      <c r="U1641" s="497"/>
      <c r="V1641" s="553" t="str">
        <f t="shared" ref="V1641:V1646" si="412">V1640</f>
        <v/>
      </c>
      <c r="W1641" s="30"/>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0"/>
      <c r="AC1641" s="557" t="b">
        <f>AND(AC1638,Y1641&lt;&gt;EUconst_NA)</f>
        <v>0</v>
      </c>
      <c r="AD1641" s="30"/>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0"/>
      <c r="AV1641" s="567" t="b">
        <f t="shared" si="409"/>
        <v>0</v>
      </c>
      <c r="AW1641" s="568" t="b">
        <f t="shared" si="410"/>
        <v>0</v>
      </c>
      <c r="AX1641" s="30"/>
      <c r="AY1641" s="553" t="b">
        <f t="shared" si="411"/>
        <v>0</v>
      </c>
      <c r="AZ1641" s="30"/>
      <c r="BA1641" s="30"/>
      <c r="BB1641" s="547" t="s">
        <v>595</v>
      </c>
      <c r="BC1641" s="546" t="str">
        <f>IF(K1628=BC1638,AR1638*IF(AJ1640=EUconst_tCO2pTJ,(AR1641/1000),1)*AR1640*AR1642*AR1645,"")</f>
        <v/>
      </c>
      <c r="BD1641" s="524" t="str">
        <f>IF(K1628=BD1638,AR1638*AR1640*AR1643*AR1645,"")</f>
        <v/>
      </c>
      <c r="BE1641" s="523"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3" t="b">
        <f>OR(BZ1638,Y1641=EUconst_NA)</f>
        <v>1</v>
      </c>
    </row>
    <row r="1642" spans="1:78" s="142" customFormat="1" ht="12.75" hidden="1" customHeight="1" thickBot="1">
      <c r="A1642" s="808"/>
      <c r="B1642" s="166"/>
      <c r="C1642" s="814" t="s">
        <v>199</v>
      </c>
      <c r="D1642" s="512" t="str">
        <f>Translations!$B$638</f>
        <v>OksK:</v>
      </c>
      <c r="E1642" s="513"/>
      <c r="F1642" s="548"/>
      <c r="G1642" s="1532" t="str">
        <f t="shared" si="406"/>
        <v/>
      </c>
      <c r="H1642" s="1533"/>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3"/>
      <c r="Q1642" s="33"/>
      <c r="R1642" s="33"/>
      <c r="S1642" s="30"/>
      <c r="T1642" s="552" t="str">
        <f>EUconst_CNTR_OxidationFactor&amp;E1629</f>
        <v>OxF_</v>
      </c>
      <c r="U1642" s="497"/>
      <c r="V1642" s="553" t="str">
        <f t="shared" si="412"/>
        <v/>
      </c>
      <c r="W1642" s="30"/>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0"/>
      <c r="AC1642" s="557" t="b">
        <f>AND(AC1638,Y1642&lt;&gt;EUconst_NA)</f>
        <v>0</v>
      </c>
      <c r="AD1642" s="30"/>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0"/>
      <c r="AV1642" s="567" t="b">
        <f t="shared" si="409"/>
        <v>0</v>
      </c>
      <c r="AW1642" s="568" t="b">
        <f t="shared" si="410"/>
        <v>0</v>
      </c>
      <c r="AX1642" s="30"/>
      <c r="AY1642" s="594" t="b">
        <f t="shared" si="411"/>
        <v>0</v>
      </c>
      <c r="AZ1642" s="531" t="b">
        <f>AR1642&gt;100%</f>
        <v>0</v>
      </c>
      <c r="BA1642" s="30"/>
      <c r="BB1642" s="547" t="s">
        <v>290</v>
      </c>
      <c r="BC1642" s="546" t="str">
        <f>IF(K1628=BC1638,AR1638*IF(AJ1640=EUconst_tCO2pTJ,(AR1641/1000),1)*AR1640*AR1642*(1-AR1645),"")</f>
        <v/>
      </c>
      <c r="BD1642" s="524" t="str">
        <f>IF(K1628=BD1638,AR1638*AR1640*AR1643*(1-AR1645),"")</f>
        <v/>
      </c>
      <c r="BE1642" s="523"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3" t="b">
        <f>OR(BZ1638,Y1642=EUconst_NA)</f>
        <v>1</v>
      </c>
    </row>
    <row r="1643" spans="1:78" s="142" customFormat="1" ht="12.75" hidden="1" customHeight="1" thickBot="1">
      <c r="A1643" s="808"/>
      <c r="B1643" s="166"/>
      <c r="C1643" s="814" t="s">
        <v>200</v>
      </c>
      <c r="D1643" s="512" t="str">
        <f>Translations!$B$639</f>
        <v>KonvK:</v>
      </c>
      <c r="E1643" s="513"/>
      <c r="F1643" s="548"/>
      <c r="G1643" s="1532" t="str">
        <f t="shared" si="406"/>
        <v/>
      </c>
      <c r="H1643" s="1533"/>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3"/>
      <c r="Q1643" s="33"/>
      <c r="R1643" s="33"/>
      <c r="S1643" s="30"/>
      <c r="T1643" s="552" t="str">
        <f>EUconst_CNTR_ConversionFactor&amp;E1629</f>
        <v>ConvF_</v>
      </c>
      <c r="U1643" s="497"/>
      <c r="V1643" s="553" t="str">
        <f t="shared" si="412"/>
        <v/>
      </c>
      <c r="W1643" s="30"/>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0"/>
      <c r="AC1643" s="557" t="b">
        <f>AND(AC1638,Y1643&lt;&gt;EUconst_NA)</f>
        <v>0</v>
      </c>
      <c r="AD1643" s="30"/>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0"/>
      <c r="AV1643" s="567" t="b">
        <f t="shared" si="409"/>
        <v>0</v>
      </c>
      <c r="AW1643" s="568" t="b">
        <f t="shared" si="410"/>
        <v>0</v>
      </c>
      <c r="AX1643" s="30"/>
      <c r="AY1643" s="594" t="b">
        <f t="shared" si="411"/>
        <v>0</v>
      </c>
      <c r="AZ1643" s="580" t="b">
        <f>AR1643&gt;100%</f>
        <v>0</v>
      </c>
      <c r="BA1643" s="30"/>
      <c r="BB1643" s="578" t="s">
        <v>487</v>
      </c>
      <c r="BC1643" s="579">
        <f>AR1638*AR1641/1000*(1-AR1645)</f>
        <v>0</v>
      </c>
      <c r="BD1643" s="580">
        <f>BC1643</f>
        <v>0</v>
      </c>
      <c r="BE1643" s="581">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3" t="b">
        <f>OR(BZ1638,Y1643=EUconst_NA)</f>
        <v>1</v>
      </c>
    </row>
    <row r="1644" spans="1:78" s="142" customFormat="1" ht="12.75" hidden="1" customHeight="1" thickBot="1">
      <c r="A1644" s="808"/>
      <c r="B1644" s="166"/>
      <c r="C1644" s="814" t="s">
        <v>329</v>
      </c>
      <c r="D1644" s="512" t="str">
        <f>Translations!$B$640</f>
        <v>AnglK:</v>
      </c>
      <c r="E1644" s="513"/>
      <c r="F1644" s="548"/>
      <c r="G1644" s="1532" t="str">
        <f t="shared" si="406"/>
        <v/>
      </c>
      <c r="H1644" s="1533"/>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3"/>
      <c r="Q1644" s="33"/>
      <c r="R1644" s="33"/>
      <c r="S1644" s="30"/>
      <c r="T1644" s="552" t="str">
        <f>EUconst_CNTR_CarbonContent&amp;E1629</f>
        <v>CarbC_</v>
      </c>
      <c r="U1644" s="497"/>
      <c r="V1644" s="553" t="str">
        <f t="shared" si="412"/>
        <v/>
      </c>
      <c r="W1644" s="30"/>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0"/>
      <c r="AC1644" s="557" t="b">
        <f>AND(AC1638,Y1644&lt;&gt;EUconst_NA)</f>
        <v>0</v>
      </c>
      <c r="AD1644" s="30"/>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0"/>
      <c r="AV1644" s="567" t="b">
        <f t="shared" si="409"/>
        <v>0</v>
      </c>
      <c r="AW1644" s="568" t="b">
        <f t="shared" si="410"/>
        <v>0</v>
      </c>
      <c r="AX1644" s="546" t="b">
        <f>OR(AND(AJ1638=EUconst_kNm3,AJ1644=EUconst_tCpt),AND(AJ1638=EUconst_t,AJ1644=EUconst_tCpkNm3))</f>
        <v>0</v>
      </c>
      <c r="AY1644" s="553" t="b">
        <f t="shared" si="411"/>
        <v>0</v>
      </c>
      <c r="AZ1644" s="30"/>
      <c r="BA1644" s="30"/>
      <c r="BB1644" s="578" t="s">
        <v>488</v>
      </c>
      <c r="BC1644" s="579">
        <f>AR1638*AR1641/1000*AR1645</f>
        <v>0</v>
      </c>
      <c r="BD1644" s="580">
        <f>BC1644</f>
        <v>0</v>
      </c>
      <c r="BE1644" s="581">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3" t="b">
        <f>OR(BZ1638,Y1644=EUconst_NA)</f>
        <v>1</v>
      </c>
    </row>
    <row r="1645" spans="1:78" s="142" customFormat="1" ht="12.75" hidden="1" customHeight="1">
      <c r="A1645" s="808"/>
      <c r="B1645" s="166"/>
      <c r="C1645" s="777" t="s">
        <v>330</v>
      </c>
      <c r="D1645" s="512" t="str">
        <f>Translations!$B$641</f>
        <v>BioC:</v>
      </c>
      <c r="E1645" s="513"/>
      <c r="F1645" s="548"/>
      <c r="G1645" s="1532" t="str">
        <f t="shared" si="406"/>
        <v/>
      </c>
      <c r="H1645" s="1533"/>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0"/>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0"/>
      <c r="AC1645" s="557" t="b">
        <f>AND(AC1638,Y1645&lt;&gt;EUconst_NA)</f>
        <v>0</v>
      </c>
      <c r="AD1645" s="30"/>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0"/>
      <c r="AV1645" s="567" t="b">
        <f t="shared" si="409"/>
        <v>0</v>
      </c>
      <c r="AW1645" s="568" t="b">
        <f t="shared" si="410"/>
        <v>0</v>
      </c>
      <c r="AX1645" s="30"/>
      <c r="AY1645" s="594" t="b">
        <f t="shared" si="411"/>
        <v>0</v>
      </c>
      <c r="AZ1645" s="531"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3" t="b">
        <f>OR(BZ1638,Y1645=EUconst_NA)</f>
        <v>1</v>
      </c>
    </row>
    <row r="1646" spans="1:78" s="142" customFormat="1" ht="12.75" hidden="1" customHeight="1" thickBot="1">
      <c r="A1646" s="808"/>
      <c r="B1646" s="166"/>
      <c r="C1646" s="777" t="s">
        <v>454</v>
      </c>
      <c r="D1646" s="512" t="str">
        <f>Translations!$B$647</f>
        <v>Netvar. BioC:</v>
      </c>
      <c r="E1646" s="513"/>
      <c r="F1646" s="597"/>
      <c r="G1646" s="1532" t="str">
        <f t="shared" si="406"/>
        <v/>
      </c>
      <c r="H1646" s="1533"/>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0"/>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0"/>
      <c r="AC1646" s="603" t="b">
        <f>AND(AC1638,Y1646&lt;&gt;EUconst_NA)</f>
        <v>0</v>
      </c>
      <c r="AD1646" s="30"/>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0"/>
      <c r="AV1646" s="613" t="b">
        <f t="shared" si="409"/>
        <v>0</v>
      </c>
      <c r="AW1646" s="614" t="b">
        <f t="shared" si="410"/>
        <v>0</v>
      </c>
      <c r="AX1646" s="30"/>
      <c r="AY1646" s="579" t="b">
        <f t="shared" si="411"/>
        <v>0</v>
      </c>
      <c r="AZ1646" s="580"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80" t="b">
        <f>OR(BZ1638,Y1646=EUconst_NA)</f>
        <v>1</v>
      </c>
    </row>
    <row r="1647" spans="1:78" s="142" customFormat="1" ht="5.0999999999999996" hidden="1" customHeight="1">
      <c r="A1647" s="808"/>
      <c r="B1647" s="166"/>
      <c r="C1647" s="166"/>
      <c r="D1647" s="180"/>
      <c r="O1647" s="733"/>
      <c r="P1647" s="33"/>
      <c r="Q1647" s="33"/>
      <c r="R1647" s="33"/>
      <c r="S1647" s="174"/>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hidden="1" customHeight="1">
      <c r="A1648" s="808"/>
      <c r="B1648" s="166"/>
      <c r="C1648" s="166"/>
      <c r="D1648" s="1558" t="str">
        <f>Translations!$B$674</f>
        <v>Pakopos galioja nuo:</v>
      </c>
      <c r="E1648" s="1558"/>
      <c r="F1648" s="1559"/>
      <c r="G1648" s="1052"/>
      <c r="H1648" s="615" t="str">
        <f>Translations!$B$675</f>
        <v>iki:</v>
      </c>
      <c r="I1648" s="1052"/>
      <c r="J1648" s="1536" t="str">
        <f>Translations!$B$676</f>
        <v>Atliekų katalogo numeris (jeigu taikytina):</v>
      </c>
      <c r="K1648" s="1537"/>
      <c r="L1648" s="1537"/>
      <c r="M1648" s="1538"/>
      <c r="N1648" s="1289"/>
      <c r="O1648" s="733"/>
      <c r="P1648" s="33"/>
      <c r="Q1648" s="33"/>
      <c r="R1648" s="33"/>
      <c r="S1648" s="1290"/>
      <c r="T1648" s="492"/>
      <c r="U1648" s="492"/>
      <c r="V1648" s="48" t="b">
        <f>IF(V1638="",FALSE,INDEX(CNTR_IsWaste,MATCH(V1638,MSParameters!$A$218:$A$376,0)))</f>
        <v>0</v>
      </c>
      <c r="W1648" s="1290"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4.5" hidden="1" customHeight="1">
      <c r="A1649" s="808"/>
      <c r="B1649" s="166"/>
      <c r="C1649" s="166"/>
      <c r="D1649" s="615"/>
      <c r="E1649" s="495"/>
      <c r="F1649" s="495"/>
      <c r="G1649" s="495"/>
      <c r="H1649" s="495"/>
      <c r="I1649" s="495"/>
      <c r="J1649" s="495"/>
      <c r="K1649" s="495"/>
      <c r="L1649" s="495"/>
      <c r="M1649" s="495"/>
      <c r="N1649" s="495"/>
      <c r="O1649" s="733"/>
      <c r="P1649" s="33"/>
      <c r="Q1649" s="33"/>
      <c r="R1649" s="33"/>
      <c r="S1649" s="174"/>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hidden="1" customHeight="1">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3"/>
      <c r="Q1650" s="33"/>
      <c r="R1650" s="33"/>
      <c r="S1650" s="174"/>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4.5" hidden="1" customHeight="1">
      <c r="A1651" s="815"/>
      <c r="D1651" s="180"/>
      <c r="O1651" s="573"/>
      <c r="P1651" s="497"/>
      <c r="Q1651" s="497"/>
      <c r="R1651" s="497"/>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hidden="1">
      <c r="A1652" s="815"/>
      <c r="D1652" s="1534" t="str">
        <f>Translations!$B$160</f>
        <v>Pastabos:</v>
      </c>
      <c r="E1652" s="1535"/>
      <c r="F1652" s="1539"/>
      <c r="G1652" s="1540"/>
      <c r="H1652" s="1540"/>
      <c r="I1652" s="1540"/>
      <c r="J1652" s="1540"/>
      <c r="K1652" s="1540"/>
      <c r="L1652" s="1540"/>
      <c r="M1652" s="1540"/>
      <c r="N1652" s="1541"/>
      <c r="O1652" s="573"/>
      <c r="P1652" s="497"/>
      <c r="Q1652" s="497"/>
      <c r="R1652" s="497"/>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c r="A1653" s="808"/>
      <c r="B1653" s="495"/>
      <c r="C1653" s="499"/>
      <c r="D1653" s="500"/>
      <c r="E1653" s="501"/>
      <c r="F1653" s="499"/>
      <c r="G1653" s="502"/>
      <c r="H1653" s="502"/>
      <c r="I1653" s="502"/>
      <c r="J1653" s="502"/>
      <c r="K1653" s="502"/>
      <c r="L1653" s="502"/>
      <c r="M1653" s="502"/>
      <c r="N1653" s="502"/>
      <c r="O1653" s="740"/>
      <c r="P1653" s="494"/>
      <c r="Q1653" s="494"/>
      <c r="R1653" s="494"/>
      <c r="S1653" s="58"/>
      <c r="T1653" s="58"/>
      <c r="U1653" s="498"/>
      <c r="V1653" s="58"/>
      <c r="W1653" s="58"/>
      <c r="X1653" s="498"/>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5" hidden="1" customHeight="1" thickBot="1">
      <c r="A1654" s="813"/>
      <c r="B1654" s="495"/>
      <c r="C1654" s="495"/>
      <c r="D1654" s="180"/>
      <c r="E1654" s="496"/>
      <c r="F1654" s="495"/>
      <c r="G1654" s="487"/>
      <c r="H1654" s="487"/>
      <c r="I1654" s="487"/>
      <c r="J1654" s="487"/>
      <c r="K1654" s="495"/>
      <c r="L1654" s="487"/>
      <c r="M1654" s="487"/>
      <c r="N1654" s="487"/>
      <c r="O1654" s="740"/>
      <c r="P1654" s="494"/>
      <c r="Q1654" s="494"/>
      <c r="R1654" s="494"/>
      <c r="S1654" s="23"/>
      <c r="T1654" s="27" t="str">
        <f>IF(ISBLANK(E1655),"",MATCH(E1655,CNTR_SourceStreamNames,0))</f>
        <v/>
      </c>
      <c r="U1654" s="618"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1"/>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3" t="s">
        <v>262</v>
      </c>
    </row>
    <row r="1655" spans="1:78" s="142" customFormat="1" ht="15" hidden="1" customHeight="1" thickBot="1">
      <c r="A1655" s="869" t="str">
        <f>IF(E1655="","","PRINT")</f>
        <v/>
      </c>
      <c r="B1655" s="166"/>
      <c r="C1655" s="617">
        <f>C1628+1</f>
        <v>60</v>
      </c>
      <c r="D1655" s="166"/>
      <c r="E1655" s="1542"/>
      <c r="F1655" s="1543"/>
      <c r="G1655" s="1543"/>
      <c r="H1655" s="1543"/>
      <c r="I1655" s="1543"/>
      <c r="J1655" s="1544"/>
      <c r="K1655" s="1545" t="str">
        <f>IF(E1656="","",INDEX(EUwideConstants!$F$353:$F$394,MATCH(E1656,EUConst_TierActivityListNames,0)))</f>
        <v/>
      </c>
      <c r="L1655" s="1546"/>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3"/>
      <c r="T1655" s="509" t="s">
        <v>393</v>
      </c>
      <c r="U1655" s="23"/>
      <c r="V1655" s="78"/>
      <c r="W1655" s="56"/>
      <c r="X1655" s="58"/>
      <c r="Y1655" s="58"/>
      <c r="Z1655" s="58"/>
      <c r="AA1655" s="58"/>
      <c r="AB1655" s="58"/>
      <c r="AC1655" s="58"/>
      <c r="AD1655" s="58"/>
      <c r="AE1655" s="58"/>
      <c r="AF1655" s="58"/>
      <c r="AG1655" s="58"/>
      <c r="AH1655" s="58"/>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6"/>
      <c r="BZ1655" s="619" t="b">
        <f>CNTR_CalcRelevant=EUconst_NotRelevant</f>
        <v>0</v>
      </c>
    </row>
    <row r="1656" spans="1:78" s="142" customFormat="1" ht="15" hidden="1" customHeight="1" thickBot="1">
      <c r="A1656" s="808"/>
      <c r="B1656" s="166"/>
      <c r="C1656" s="166"/>
      <c r="D1656" s="166"/>
      <c r="E1656" s="1547" t="str">
        <f>IF(ISBLANK(E1655),"",IF(INDEX(B_InstallationDescription!$E$71:$E$145,MATCH(U1654,B_InstallationDescription!$D$71:$D$145,0))&gt;0,INDEX(B_InstallationDescription!$E$71:$E$145,MATCH(U1654,B_InstallationDescription!$D$71:$D$145,0)),""))</f>
        <v/>
      </c>
      <c r="F1656" s="1548"/>
      <c r="G1656" s="1548"/>
      <c r="H1656" s="1548"/>
      <c r="I1656" s="1548"/>
      <c r="J1656" s="1549"/>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4"/>
      <c r="AH1656" s="30"/>
      <c r="AI1656" s="30"/>
      <c r="AJ1656" s="504"/>
      <c r="AK1656" s="504"/>
      <c r="AL1656" s="342"/>
      <c r="AM1656" s="27" t="s">
        <v>308</v>
      </c>
      <c r="AN1656" s="505"/>
      <c r="AO1656" s="505"/>
      <c r="AP1656" s="30"/>
      <c r="AQ1656" s="30"/>
      <c r="AR1656" s="30"/>
      <c r="AS1656" s="30"/>
      <c r="AT1656" s="30"/>
      <c r="AU1656" s="30"/>
      <c r="AV1656" s="27" t="s">
        <v>315</v>
      </c>
      <c r="AW1656" s="30"/>
      <c r="AX1656" s="492"/>
      <c r="AY1656" s="30"/>
      <c r="AZ1656" s="30"/>
      <c r="BA1656" s="30"/>
      <c r="BB1656" s="27" t="s">
        <v>219</v>
      </c>
      <c r="BC1656" s="30"/>
      <c r="BD1656" s="30"/>
      <c r="BE1656" s="30"/>
      <c r="BF1656" s="30"/>
      <c r="BG1656" s="27"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0"/>
      <c r="BZ1656" s="30"/>
    </row>
    <row r="1657" spans="1:78" s="142" customFormat="1" ht="4.5" hidden="1" customHeight="1">
      <c r="A1657" s="808"/>
      <c r="B1657" s="166"/>
      <c r="C1657" s="166"/>
      <c r="D1657" s="166"/>
      <c r="E1657" s="166"/>
      <c r="F1657" s="166"/>
      <c r="G1657" s="166"/>
      <c r="M1657" s="143"/>
      <c r="N1657" s="143"/>
      <c r="O1657" s="733"/>
      <c r="P1657" s="33"/>
      <c r="Q1657" s="33"/>
      <c r="R1657" s="33"/>
      <c r="S1657" s="23"/>
      <c r="T1657" s="23"/>
      <c r="U1657" s="23"/>
      <c r="V1657" s="78"/>
      <c r="W1657" s="30"/>
      <c r="X1657" s="30"/>
      <c r="Y1657" s="494"/>
      <c r="Z1657" s="30"/>
      <c r="AA1657" s="30"/>
      <c r="AB1657" s="30"/>
      <c r="AC1657" s="30"/>
      <c r="AD1657" s="30"/>
      <c r="AE1657" s="30"/>
      <c r="AF1657" s="58"/>
      <c r="AG1657" s="30"/>
      <c r="AH1657" s="30"/>
      <c r="AI1657" s="30"/>
      <c r="AJ1657" s="504"/>
      <c r="AK1657" s="504"/>
      <c r="AL1657" s="342"/>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hidden="1" customHeight="1" thickBot="1">
      <c r="A1658" s="808"/>
      <c r="B1658" s="166"/>
      <c r="C1658" s="166"/>
      <c r="D1658" s="166"/>
      <c r="E1658" s="1550" t="str">
        <f>IF(E1655="","",IF(T1656=TRUE,HYPERLINK("#JUMP_14",EUconst_MsgGoOnPFC),HYPERLINK("#JUMP_E_8",EUconst_FurtherGuidancePoint1)))</f>
        <v/>
      </c>
      <c r="F1658" s="1550"/>
      <c r="G1658" s="1550"/>
      <c r="H1658" s="1550"/>
      <c r="I1658" s="1550"/>
      <c r="J1658" s="1550"/>
      <c r="K1658" s="1550"/>
      <c r="L1658" s="1550"/>
      <c r="M1658" s="1550"/>
      <c r="N1658" s="143"/>
      <c r="O1658" s="733"/>
      <c r="P1658" s="33"/>
      <c r="Q1658" s="352" t="str">
        <f>EUconst_SumNonSustBioCO2 &amp; "_" &amp; K1655</f>
        <v>SUM_bioNonSustCO2_</v>
      </c>
      <c r="R1658" s="707"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4"/>
      <c r="AK1658" s="504"/>
      <c r="AL1658" s="342"/>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hidden="1" customHeight="1">
      <c r="A1659" s="808"/>
      <c r="B1659" s="166"/>
      <c r="C1659" s="166"/>
      <c r="D1659" s="166"/>
      <c r="E1659" s="166"/>
      <c r="F1659" s="166"/>
      <c r="G1659" s="166"/>
      <c r="M1659" s="143"/>
      <c r="N1659" s="143"/>
      <c r="O1659" s="733"/>
      <c r="P1659" s="23"/>
      <c r="Q1659" s="23"/>
      <c r="R1659" s="23"/>
      <c r="S1659" s="23"/>
      <c r="T1659" s="23"/>
      <c r="U1659" s="23"/>
      <c r="V1659" s="30"/>
      <c r="W1659" s="30"/>
      <c r="X1659" s="30"/>
      <c r="Y1659" s="494"/>
      <c r="Z1659" s="30"/>
      <c r="AA1659" s="30"/>
      <c r="AB1659" s="30"/>
      <c r="AC1659" s="30"/>
      <c r="AD1659" s="30"/>
      <c r="AE1659" s="30"/>
      <c r="AF1659" s="58"/>
      <c r="AG1659" s="30"/>
      <c r="AH1659" s="30"/>
      <c r="AI1659" s="30"/>
      <c r="AJ1659" s="504"/>
      <c r="AK1659" s="504"/>
      <c r="AL1659" s="342"/>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hidden="1" customHeight="1" thickBot="1">
      <c r="A1660" s="808"/>
      <c r="B1660" s="166"/>
      <c r="C1660" s="814" t="s">
        <v>4</v>
      </c>
      <c r="D1660" s="512" t="str">
        <f>Translations!$B$622</f>
        <v>VD:</v>
      </c>
      <c r="E1660" s="1560" t="str">
        <f>Translations!$B$667</f>
        <v>Ar veiklos duomenys gaunami sudedant išmatuotus kiekius (t. y. ne atliekant nuolatinius matavimus)?</v>
      </c>
      <c r="F1660" s="1560"/>
      <c r="G1660" s="1560"/>
      <c r="H1660" s="1560"/>
      <c r="I1660" s="1560"/>
      <c r="J1660" s="1560"/>
      <c r="K1660" s="1560"/>
      <c r="L1660" s="1179"/>
      <c r="M1660" s="507"/>
      <c r="O1660" s="733"/>
      <c r="P1660" s="23"/>
      <c r="Q1660" s="23"/>
      <c r="R1660" s="23"/>
      <c r="S1660" s="23"/>
      <c r="T1660" s="23"/>
      <c r="U1660" s="23"/>
      <c r="V1660" s="30"/>
      <c r="W1660" s="30"/>
      <c r="X1660" s="30"/>
      <c r="Y1660" s="494"/>
      <c r="Z1660" s="30"/>
      <c r="AA1660" s="30"/>
      <c r="AB1660" s="30"/>
      <c r="AC1660" s="1172" t="b">
        <f>AND(E1655&lt;&gt;"",T1656&lt;&gt;TRUE)</f>
        <v>0</v>
      </c>
      <c r="AD1660" s="30"/>
      <c r="AE1660" s="30"/>
      <c r="AF1660" s="58"/>
      <c r="AG1660" s="30"/>
      <c r="AH1660" s="30"/>
      <c r="AI1660" s="30"/>
      <c r="AJ1660" s="504"/>
      <c r="AK1660" s="504"/>
      <c r="AL1660" s="342"/>
      <c r="AM1660" s="30"/>
      <c r="AN1660" s="30"/>
      <c r="AO1660" s="30"/>
      <c r="AP1660" s="30"/>
      <c r="AQ1660" s="30"/>
      <c r="AR1660" s="30"/>
      <c r="AS1660" s="30"/>
      <c r="AT1660" s="1172"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2" t="b">
        <f>OR(CNTR_CalcRelevant=EUconst_NotRelevant,AND(COUNTA(CNTR_ListRelevantSections)&gt;0,OR(T1656=TRUE,E1655="")))</f>
        <v>1</v>
      </c>
    </row>
    <row r="1661" spans="1:78" s="142" customFormat="1" ht="4.5" hidden="1" customHeight="1">
      <c r="A1661" s="808"/>
      <c r="B1661" s="166"/>
      <c r="C1661" s="166"/>
      <c r="D1661" s="166"/>
      <c r="E1661" s="166"/>
      <c r="F1661" s="166"/>
      <c r="G1661" s="166"/>
      <c r="H1661" s="495"/>
      <c r="I1661" s="495"/>
      <c r="J1661" s="495"/>
      <c r="K1661" s="495"/>
      <c r="L1661" s="495"/>
      <c r="M1661" s="507"/>
      <c r="O1661" s="733"/>
      <c r="P1661" s="23"/>
      <c r="Q1661" s="23"/>
      <c r="R1661" s="23"/>
      <c r="S1661" s="23"/>
      <c r="T1661" s="23"/>
      <c r="U1661" s="23"/>
      <c r="V1661" s="30"/>
      <c r="W1661" s="30"/>
      <c r="X1661" s="30"/>
      <c r="Y1661" s="494"/>
      <c r="Z1661" s="30"/>
      <c r="AA1661" s="30"/>
      <c r="AB1661" s="30"/>
      <c r="AC1661" s="492"/>
      <c r="AD1661" s="30"/>
      <c r="AE1661" s="30"/>
      <c r="AF1661" s="58"/>
      <c r="AG1661" s="30"/>
      <c r="AH1661" s="30"/>
      <c r="AI1661" s="30"/>
      <c r="AJ1661" s="504"/>
      <c r="AK1661" s="504"/>
      <c r="AL1661" s="342"/>
      <c r="AM1661" s="30"/>
      <c r="AN1661" s="30"/>
      <c r="AO1661" s="30"/>
      <c r="AP1661" s="30"/>
      <c r="AQ1661" s="30"/>
      <c r="AR1661" s="30"/>
      <c r="AS1661" s="30"/>
      <c r="AT1661" s="492"/>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2"/>
    </row>
    <row r="1662" spans="1:78" s="142" customFormat="1" ht="12.75" hidden="1" customHeight="1" thickBot="1">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3"/>
      <c r="Q1662" s="23"/>
      <c r="R1662" s="23"/>
      <c r="S1662" s="23"/>
      <c r="T1662" s="23"/>
      <c r="U1662" s="23"/>
      <c r="V1662" s="30"/>
      <c r="W1662" s="30"/>
      <c r="X1662" s="30"/>
      <c r="Y1662" s="494"/>
      <c r="Z1662" s="30"/>
      <c r="AA1662" s="30"/>
      <c r="AB1662" s="30"/>
      <c r="AC1662" s="1172" t="b">
        <f>AC1660</f>
        <v>0</v>
      </c>
      <c r="AD1662" s="30"/>
      <c r="AE1662" s="30"/>
      <c r="AF1662" s="58"/>
      <c r="AG1662" s="30"/>
      <c r="AH1662" s="30"/>
      <c r="AI1662" s="30"/>
      <c r="AJ1662" s="504"/>
      <c r="AK1662" s="504"/>
      <c r="AL1662" s="342"/>
      <c r="AM1662" s="30"/>
      <c r="AN1662" s="30"/>
      <c r="AO1662" s="30"/>
      <c r="AP1662" s="30"/>
      <c r="AQ1662" s="30"/>
      <c r="AR1662" s="30"/>
      <c r="AS1662" s="30"/>
      <c r="AT1662" s="1172"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2" t="b">
        <f>OR(BZ1660,AND(NOT(ISBLANK(L1660)),L1660=FALSE))</f>
        <v>1</v>
      </c>
    </row>
    <row r="1663" spans="1:78" s="142" customFormat="1" ht="5.0999999999999996" hidden="1" customHeight="1">
      <c r="A1663" s="808"/>
      <c r="B1663" s="166"/>
      <c r="C1663" s="166"/>
      <c r="D1663" s="166"/>
      <c r="E1663" s="166"/>
      <c r="F1663" s="166"/>
      <c r="G1663" s="166"/>
      <c r="M1663" s="143"/>
      <c r="N1663" s="143"/>
      <c r="O1663" s="733"/>
      <c r="P1663" s="23"/>
      <c r="Q1663" s="23"/>
      <c r="R1663" s="23"/>
      <c r="S1663" s="23"/>
      <c r="T1663" s="23"/>
      <c r="U1663" s="23"/>
      <c r="V1663" s="30"/>
      <c r="W1663" s="30"/>
      <c r="X1663" s="30"/>
      <c r="Y1663" s="494"/>
      <c r="Z1663" s="30"/>
      <c r="AA1663" s="30"/>
      <c r="AB1663" s="30"/>
      <c r="AC1663" s="30"/>
      <c r="AD1663" s="30"/>
      <c r="AE1663" s="30"/>
      <c r="AF1663" s="58"/>
      <c r="AG1663" s="30"/>
      <c r="AH1663" s="30"/>
      <c r="AI1663" s="30"/>
      <c r="AJ1663" s="504"/>
      <c r="AK1663" s="504"/>
      <c r="AL1663" s="342"/>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hidden="1" customHeight="1" thickBot="1">
      <c r="A1664" s="808"/>
      <c r="B1664" s="166"/>
      <c r="C1664" s="166"/>
      <c r="D1664" s="166"/>
      <c r="E1664" s="166"/>
      <c r="F1664" s="506" t="str">
        <f>Translations!$B$333</f>
        <v>Pakopa</v>
      </c>
      <c r="G1664" s="1557" t="str">
        <f>Translations!$B$672</f>
        <v>pakopos aprašas</v>
      </c>
      <c r="H1664" s="1557"/>
      <c r="I1664" s="1555" t="str">
        <f>Translations!$B$158</f>
        <v>Vienetas</v>
      </c>
      <c r="J1664" s="1555"/>
      <c r="K1664" s="1555" t="str">
        <f>Translations!$B$673</f>
        <v>Vertė</v>
      </c>
      <c r="L1664" s="1555"/>
      <c r="M1664" s="507" t="str">
        <f>Translations!$B$610</f>
        <v>klaida</v>
      </c>
      <c r="O1664" s="733"/>
      <c r="P1664" s="508"/>
      <c r="Q1664" s="352" t="str">
        <f>EUconst_SumEnergyIN &amp; "_" &amp; K1655</f>
        <v>SUM_EnergyIN_</v>
      </c>
      <c r="R1664" s="399" t="str">
        <f>IF(OR(K1655="",T1656)=TRUE,"",INDEX(BC1670:BE1670,MATCH(K1655,BC1665:BE1665,0)))</f>
        <v/>
      </c>
      <c r="S1664" s="30"/>
      <c r="T1664" s="489"/>
      <c r="U1664" s="30"/>
      <c r="V1664" s="509" t="s">
        <v>303</v>
      </c>
      <c r="W1664" s="30"/>
      <c r="X1664" s="30"/>
      <c r="Y1664" s="494" t="s">
        <v>566</v>
      </c>
      <c r="Z1664" s="494" t="s">
        <v>318</v>
      </c>
      <c r="AA1664" s="30"/>
      <c r="AB1664" s="30"/>
      <c r="AC1664" s="505" t="s">
        <v>309</v>
      </c>
      <c r="AD1664" s="30"/>
      <c r="AE1664" s="30"/>
      <c r="AF1664" s="492" t="s">
        <v>305</v>
      </c>
      <c r="AG1664" s="492" t="s">
        <v>306</v>
      </c>
      <c r="AH1664" s="494" t="s">
        <v>304</v>
      </c>
      <c r="AI1664" s="504" t="s">
        <v>307</v>
      </c>
      <c r="AJ1664" s="504" t="s">
        <v>567</v>
      </c>
      <c r="AK1664" s="510" t="s">
        <v>311</v>
      </c>
      <c r="AL1664" s="342"/>
      <c r="AM1664" s="30"/>
      <c r="AN1664" s="492" t="s">
        <v>305</v>
      </c>
      <c r="AO1664" s="492" t="s">
        <v>306</v>
      </c>
      <c r="AP1664" s="511" t="s">
        <v>310</v>
      </c>
      <c r="AQ1664" s="504" t="s">
        <v>569</v>
      </c>
      <c r="AR1664" s="504" t="s">
        <v>568</v>
      </c>
      <c r="AS1664" s="510" t="s">
        <v>609</v>
      </c>
      <c r="AT1664" s="510" t="s">
        <v>609</v>
      </c>
      <c r="AU1664" s="30"/>
      <c r="AV1664" s="492"/>
      <c r="AW1664" s="492"/>
      <c r="AX1664" s="492" t="s">
        <v>321</v>
      </c>
      <c r="AY1664" s="492"/>
      <c r="AZ1664" s="492"/>
      <c r="BA1664" s="492"/>
      <c r="BB1664" s="492"/>
      <c r="BC1664" s="492"/>
      <c r="BD1664" s="492"/>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3" t="s">
        <v>262</v>
      </c>
    </row>
    <row r="1665" spans="1:78" s="142" customFormat="1" ht="12.75" hidden="1" customHeight="1" thickBot="1">
      <c r="A1665" s="808"/>
      <c r="B1665" s="166"/>
      <c r="C1665" s="777" t="s">
        <v>196</v>
      </c>
      <c r="D1665" s="512" t="str">
        <f>Translations!$B$622</f>
        <v>VD:</v>
      </c>
      <c r="E1665" s="513"/>
      <c r="F1665" s="402"/>
      <c r="G1665" s="1532" t="str">
        <f>IF(OR(ISBLANK(F1665),F1665=EUconst_NoTier),"",IF(Z1665=0,EUconst_NA,IF(ISERROR(Z1665),"",Z1665)))</f>
        <v/>
      </c>
      <c r="H1665" s="1533"/>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0"/>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0"/>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0"/>
      <c r="AV1665" s="492" t="s">
        <v>314</v>
      </c>
      <c r="AW1665" s="492" t="s">
        <v>319</v>
      </c>
      <c r="AX1665" s="524"/>
      <c r="AY1665" s="30" t="s">
        <v>542</v>
      </c>
      <c r="AZ1665" s="30"/>
      <c r="BA1665" s="30"/>
      <c r="BB1665" s="504"/>
      <c r="BC1665" s="493" t="str">
        <f>EUconst_Fuel</f>
        <v>Degimas</v>
      </c>
      <c r="BD1665" s="493" t="str">
        <f>EUconst_ProcessCarbonate</f>
        <v>Proceso metu išsiskiriančios ŠESD</v>
      </c>
      <c r="BE1665" s="493"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4" t="b">
        <f>BZ1660</f>
        <v>1</v>
      </c>
    </row>
    <row r="1666" spans="1:78" s="142" customFormat="1" ht="5.0999999999999996" hidden="1" customHeight="1">
      <c r="A1666" s="808"/>
      <c r="B1666" s="166"/>
      <c r="C1666" s="814"/>
      <c r="D1666" s="306"/>
      <c r="F1666" s="143"/>
      <c r="G1666" s="143"/>
      <c r="H1666" s="143" t="s">
        <v>236</v>
      </c>
      <c r="I1666" s="525"/>
      <c r="J1666" s="525"/>
      <c r="K1666" s="143"/>
      <c r="L1666" s="143"/>
      <c r="M1666" s="710"/>
      <c r="O1666" s="733"/>
      <c r="P1666" s="33"/>
      <c r="Q1666" s="33"/>
      <c r="R1666" s="33"/>
      <c r="S1666" s="30"/>
      <c r="T1666" s="155"/>
      <c r="U1666" s="497"/>
      <c r="V1666" s="30"/>
      <c r="W1666" s="30"/>
      <c r="X1666" s="497"/>
      <c r="Y1666" s="526"/>
      <c r="Z1666" s="30"/>
      <c r="AA1666" s="30"/>
      <c r="AB1666" s="30"/>
      <c r="AC1666" s="30"/>
      <c r="AD1666" s="30"/>
      <c r="AE1666" s="30"/>
      <c r="AF1666" s="30"/>
      <c r="AG1666" s="30"/>
      <c r="AH1666" s="30"/>
      <c r="AI1666" s="30"/>
      <c r="AJ1666" s="30"/>
      <c r="AK1666" s="30"/>
      <c r="AL1666" s="342"/>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3"/>
    </row>
    <row r="1667" spans="1:78" s="142" customFormat="1" ht="12.75" hidden="1" customHeight="1" thickBot="1">
      <c r="A1667" s="808"/>
      <c r="B1667" s="166"/>
      <c r="C1667" s="814" t="s">
        <v>197</v>
      </c>
      <c r="D1667" s="512" t="str">
        <f>Translations!$B$634</f>
        <v>(prelim.) ITF:</v>
      </c>
      <c r="E1667" s="513"/>
      <c r="F1667" s="527"/>
      <c r="G1667" s="1532" t="str">
        <f t="shared" ref="G1667:G1673" si="413">IF(OR(ISBLANK(F1667),F1667=EUconst_NoTier),"",IF(Z1667=0,EUconst_NotApplicable,IF(ISERROR(Z1667),"",Z1667)))</f>
        <v/>
      </c>
      <c r="H1667" s="1556"/>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3"/>
      <c r="Q1667" s="33"/>
      <c r="R1667" s="33"/>
      <c r="S1667" s="30"/>
      <c r="T1667" s="530" t="str">
        <f>EUconst_CNTR_EF&amp;E1656</f>
        <v>EF_</v>
      </c>
      <c r="U1667" s="497"/>
      <c r="V1667" s="531" t="str">
        <f>V1665</f>
        <v/>
      </c>
      <c r="W1667" s="30"/>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0"/>
      <c r="AC1667" s="535" t="b">
        <f>AND(AC1665,Y1667&lt;&gt;EUconst_NA)</f>
        <v>0</v>
      </c>
      <c r="AD1667" s="30"/>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0"/>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0"/>
      <c r="BA1667" s="30"/>
      <c r="BB1667" s="547" t="s">
        <v>594</v>
      </c>
      <c r="BC1667" s="546" t="str">
        <f>IF(K1655=BC1665,AR1665*IF(AJ1667=EUconst_tCO2pTJ,(AR1668/1000),1)*AR1667*AR1669*AR1673,"")</f>
        <v/>
      </c>
      <c r="BD1667" s="524" t="str">
        <f>IF(K1655=BD1665,AR1665*AR1667*AR1670*AR1673,"")</f>
        <v/>
      </c>
      <c r="BE1667" s="523"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1" t="b">
        <f>OR(BZ1665,Y1667=EUconst_NA)</f>
        <v>1</v>
      </c>
    </row>
    <row r="1668" spans="1:78" s="142" customFormat="1" ht="12.75" hidden="1" customHeight="1" thickBot="1">
      <c r="A1668" s="808"/>
      <c r="B1668" s="166"/>
      <c r="C1668" s="814" t="s">
        <v>198</v>
      </c>
      <c r="D1668" s="512" t="str">
        <f>Translations!$B$636</f>
        <v>GŠV:</v>
      </c>
      <c r="E1668" s="513"/>
      <c r="F1668" s="548"/>
      <c r="G1668" s="1532" t="str">
        <f t="shared" si="413"/>
        <v/>
      </c>
      <c r="H1668" s="1533"/>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3"/>
      <c r="Q1668" s="33"/>
      <c r="R1668" s="33"/>
      <c r="S1668" s="30"/>
      <c r="T1668" s="552" t="str">
        <f>EUconst_CNTR_NCV&amp;E1656</f>
        <v>NCV_</v>
      </c>
      <c r="U1668" s="497"/>
      <c r="V1668" s="553" t="str">
        <f t="shared" ref="V1668:V1673" si="419">V1667</f>
        <v/>
      </c>
      <c r="W1668" s="30"/>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0"/>
      <c r="AC1668" s="557" t="b">
        <f>AND(AC1665,Y1668&lt;&gt;EUconst_NA)</f>
        <v>0</v>
      </c>
      <c r="AD1668" s="30"/>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0"/>
      <c r="AV1668" s="567" t="b">
        <f t="shared" si="416"/>
        <v>0</v>
      </c>
      <c r="AW1668" s="568" t="b">
        <f t="shared" si="417"/>
        <v>0</v>
      </c>
      <c r="AX1668" s="30"/>
      <c r="AY1668" s="553" t="b">
        <f t="shared" si="418"/>
        <v>0</v>
      </c>
      <c r="AZ1668" s="30"/>
      <c r="BA1668" s="30"/>
      <c r="BB1668" s="547" t="s">
        <v>595</v>
      </c>
      <c r="BC1668" s="546" t="str">
        <f>IF(K1655=BC1665,AR1665*IF(AJ1667=EUconst_tCO2pTJ,(AR1668/1000),1)*AR1667*AR1669*AR1672,"")</f>
        <v/>
      </c>
      <c r="BD1668" s="524" t="str">
        <f>IF(K1655=BD1665,AR1665*AR1667*AR1670*AR1672,"")</f>
        <v/>
      </c>
      <c r="BE1668" s="523"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3" t="b">
        <f>OR(BZ1665,Y1668=EUconst_NA)</f>
        <v>1</v>
      </c>
    </row>
    <row r="1669" spans="1:78" s="142" customFormat="1" ht="12.75" hidden="1" customHeight="1" thickBot="1">
      <c r="A1669" s="808"/>
      <c r="B1669" s="166"/>
      <c r="C1669" s="814" t="s">
        <v>199</v>
      </c>
      <c r="D1669" s="512" t="str">
        <f>Translations!$B$638</f>
        <v>OksK:</v>
      </c>
      <c r="E1669" s="513"/>
      <c r="F1669" s="548"/>
      <c r="G1669" s="1532" t="str">
        <f t="shared" si="413"/>
        <v/>
      </c>
      <c r="H1669" s="1533"/>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3"/>
      <c r="Q1669" s="33"/>
      <c r="R1669" s="33"/>
      <c r="S1669" s="30"/>
      <c r="T1669" s="552" t="str">
        <f>EUconst_CNTR_OxidationFactor&amp;E1656</f>
        <v>OxF_</v>
      </c>
      <c r="U1669" s="497"/>
      <c r="V1669" s="553" t="str">
        <f t="shared" si="419"/>
        <v/>
      </c>
      <c r="W1669" s="30"/>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0"/>
      <c r="AC1669" s="557" t="b">
        <f>AND(AC1665,Y1669&lt;&gt;EUconst_NA)</f>
        <v>0</v>
      </c>
      <c r="AD1669" s="30"/>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0"/>
      <c r="AV1669" s="567" t="b">
        <f t="shared" si="416"/>
        <v>0</v>
      </c>
      <c r="AW1669" s="568" t="b">
        <f t="shared" si="417"/>
        <v>0</v>
      </c>
      <c r="AX1669" s="30"/>
      <c r="AY1669" s="594" t="b">
        <f t="shared" si="418"/>
        <v>0</v>
      </c>
      <c r="AZ1669" s="531" t="b">
        <f>AR1669&gt;100%</f>
        <v>0</v>
      </c>
      <c r="BA1669" s="30"/>
      <c r="BB1669" s="547" t="s">
        <v>290</v>
      </c>
      <c r="BC1669" s="546" t="str">
        <f>IF(K1655=BC1665,AR1665*IF(AJ1667=EUconst_tCO2pTJ,(AR1668/1000),1)*AR1667*AR1669*(1-AR1672),"")</f>
        <v/>
      </c>
      <c r="BD1669" s="524" t="str">
        <f>IF(K1655=BD1665,AR1665*AR1667*AR1670*(1-AR1672),"")</f>
        <v/>
      </c>
      <c r="BE1669" s="523"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3" t="b">
        <f>OR(BZ1665,Y1669=EUconst_NA)</f>
        <v>1</v>
      </c>
    </row>
    <row r="1670" spans="1:78" s="142" customFormat="1" ht="12.75" hidden="1" customHeight="1" thickBot="1">
      <c r="A1670" s="808"/>
      <c r="B1670" s="166"/>
      <c r="C1670" s="814" t="s">
        <v>200</v>
      </c>
      <c r="D1670" s="512" t="str">
        <f>Translations!$B$639</f>
        <v>KonvK:</v>
      </c>
      <c r="E1670" s="513"/>
      <c r="F1670" s="548"/>
      <c r="G1670" s="1532" t="str">
        <f t="shared" si="413"/>
        <v/>
      </c>
      <c r="H1670" s="1533"/>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3"/>
      <c r="Q1670" s="33"/>
      <c r="R1670" s="33"/>
      <c r="S1670" s="30"/>
      <c r="T1670" s="552" t="str">
        <f>EUconst_CNTR_ConversionFactor&amp;E1656</f>
        <v>ConvF_</v>
      </c>
      <c r="U1670" s="497"/>
      <c r="V1670" s="553" t="str">
        <f t="shared" si="419"/>
        <v/>
      </c>
      <c r="W1670" s="30"/>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0"/>
      <c r="AC1670" s="557" t="b">
        <f>AND(AC1665,Y1670&lt;&gt;EUconst_NA)</f>
        <v>0</v>
      </c>
      <c r="AD1670" s="30"/>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0"/>
      <c r="AV1670" s="567" t="b">
        <f t="shared" si="416"/>
        <v>0</v>
      </c>
      <c r="AW1670" s="568" t="b">
        <f t="shared" si="417"/>
        <v>0</v>
      </c>
      <c r="AX1670" s="30"/>
      <c r="AY1670" s="594" t="b">
        <f t="shared" si="418"/>
        <v>0</v>
      </c>
      <c r="AZ1670" s="580" t="b">
        <f>AR1670&gt;100%</f>
        <v>0</v>
      </c>
      <c r="BA1670" s="30"/>
      <c r="BB1670" s="578" t="s">
        <v>487</v>
      </c>
      <c r="BC1670" s="579">
        <f>AR1665*AR1668/1000*(1-AR1672)</f>
        <v>0</v>
      </c>
      <c r="BD1670" s="580">
        <f>BC1670</f>
        <v>0</v>
      </c>
      <c r="BE1670" s="581">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3" t="b">
        <f>OR(BZ1665,Y1670=EUconst_NA)</f>
        <v>1</v>
      </c>
    </row>
    <row r="1671" spans="1:78" s="142" customFormat="1" ht="12.75" hidden="1" customHeight="1" thickBot="1">
      <c r="A1671" s="808"/>
      <c r="B1671" s="166"/>
      <c r="C1671" s="814" t="s">
        <v>329</v>
      </c>
      <c r="D1671" s="512" t="str">
        <f>Translations!$B$640</f>
        <v>AnglK:</v>
      </c>
      <c r="E1671" s="513"/>
      <c r="F1671" s="548"/>
      <c r="G1671" s="1532" t="str">
        <f t="shared" si="413"/>
        <v/>
      </c>
      <c r="H1671" s="1533"/>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3"/>
      <c r="Q1671" s="33"/>
      <c r="R1671" s="33"/>
      <c r="S1671" s="30"/>
      <c r="T1671" s="552" t="str">
        <f>EUconst_CNTR_CarbonContent&amp;E1656</f>
        <v>CarbC_</v>
      </c>
      <c r="U1671" s="497"/>
      <c r="V1671" s="553" t="str">
        <f t="shared" si="419"/>
        <v/>
      </c>
      <c r="W1671" s="30"/>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0"/>
      <c r="AC1671" s="557" t="b">
        <f>AND(AC1665,Y1671&lt;&gt;EUconst_NA)</f>
        <v>0</v>
      </c>
      <c r="AD1671" s="30"/>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0"/>
      <c r="AV1671" s="567" t="b">
        <f t="shared" si="416"/>
        <v>0</v>
      </c>
      <c r="AW1671" s="568" t="b">
        <f t="shared" si="417"/>
        <v>0</v>
      </c>
      <c r="AX1671" s="546" t="b">
        <f>OR(AND(AJ1665=EUconst_kNm3,AJ1671=EUconst_tCpt),AND(AJ1665=EUconst_t,AJ1671=EUconst_tCpkNm3))</f>
        <v>0</v>
      </c>
      <c r="AY1671" s="553" t="b">
        <f t="shared" si="418"/>
        <v>0</v>
      </c>
      <c r="AZ1671" s="30"/>
      <c r="BA1671" s="30"/>
      <c r="BB1671" s="578" t="s">
        <v>488</v>
      </c>
      <c r="BC1671" s="579">
        <f>AR1665*AR1668/1000*AR1672</f>
        <v>0</v>
      </c>
      <c r="BD1671" s="580">
        <f>BC1671</f>
        <v>0</v>
      </c>
      <c r="BE1671" s="581">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3" t="b">
        <f>OR(BZ1665,Y1671=EUconst_NA)</f>
        <v>1</v>
      </c>
    </row>
    <row r="1672" spans="1:78" s="142" customFormat="1" ht="12.75" hidden="1" customHeight="1">
      <c r="A1672" s="808"/>
      <c r="B1672" s="166"/>
      <c r="C1672" s="777" t="s">
        <v>330</v>
      </c>
      <c r="D1672" s="512" t="str">
        <f>Translations!$B$641</f>
        <v>BioC:</v>
      </c>
      <c r="E1672" s="513"/>
      <c r="F1672" s="548"/>
      <c r="G1672" s="1532" t="str">
        <f t="shared" si="413"/>
        <v/>
      </c>
      <c r="H1672" s="1533"/>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0"/>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0"/>
      <c r="AC1672" s="557" t="b">
        <f>AND(AC1665,Y1672&lt;&gt;EUconst_NA)</f>
        <v>0</v>
      </c>
      <c r="AD1672" s="30"/>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0"/>
      <c r="AV1672" s="567" t="b">
        <f t="shared" si="416"/>
        <v>0</v>
      </c>
      <c r="AW1672" s="568" t="b">
        <f t="shared" si="417"/>
        <v>0</v>
      </c>
      <c r="AX1672" s="30"/>
      <c r="AY1672" s="594" t="b">
        <f t="shared" si="418"/>
        <v>0</v>
      </c>
      <c r="AZ1672" s="531"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3" t="b">
        <f>OR(BZ1665,Y1672=EUconst_NA)</f>
        <v>1</v>
      </c>
    </row>
    <row r="1673" spans="1:78" s="142" customFormat="1" ht="12.75" hidden="1" customHeight="1" thickBot="1">
      <c r="A1673" s="808"/>
      <c r="B1673" s="166"/>
      <c r="C1673" s="777" t="s">
        <v>454</v>
      </c>
      <c r="D1673" s="512" t="str">
        <f>Translations!$B$647</f>
        <v>Netvar. BioC:</v>
      </c>
      <c r="E1673" s="513"/>
      <c r="F1673" s="597"/>
      <c r="G1673" s="1532" t="str">
        <f t="shared" si="413"/>
        <v/>
      </c>
      <c r="H1673" s="1533"/>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0"/>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0"/>
      <c r="AC1673" s="603" t="b">
        <f>AND(AC1665,Y1673&lt;&gt;EUconst_NA)</f>
        <v>0</v>
      </c>
      <c r="AD1673" s="30"/>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0"/>
      <c r="AV1673" s="613" t="b">
        <f t="shared" si="416"/>
        <v>0</v>
      </c>
      <c r="AW1673" s="614" t="b">
        <f t="shared" si="417"/>
        <v>0</v>
      </c>
      <c r="AX1673" s="30"/>
      <c r="AY1673" s="579" t="b">
        <f t="shared" si="418"/>
        <v>0</v>
      </c>
      <c r="AZ1673" s="580"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80" t="b">
        <f>OR(BZ1665,Y1673=EUconst_NA)</f>
        <v>1</v>
      </c>
    </row>
    <row r="1674" spans="1:78" s="142" customFormat="1" ht="5.0999999999999996" hidden="1" customHeight="1">
      <c r="A1674" s="808"/>
      <c r="B1674" s="166"/>
      <c r="C1674" s="166"/>
      <c r="D1674" s="180"/>
      <c r="O1674" s="733"/>
      <c r="P1674" s="33"/>
      <c r="Q1674" s="33"/>
      <c r="R1674" s="33"/>
      <c r="S1674" s="174"/>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hidden="1" customHeight="1">
      <c r="A1675" s="808"/>
      <c r="B1675" s="166"/>
      <c r="C1675" s="166"/>
      <c r="D1675" s="1558" t="str">
        <f>Translations!$B$674</f>
        <v>Pakopos galioja nuo:</v>
      </c>
      <c r="E1675" s="1558"/>
      <c r="F1675" s="1559"/>
      <c r="G1675" s="1052"/>
      <c r="H1675" s="615" t="str">
        <f>Translations!$B$675</f>
        <v>iki:</v>
      </c>
      <c r="I1675" s="1052"/>
      <c r="J1675" s="1536" t="str">
        <f>Translations!$B$676</f>
        <v>Atliekų katalogo numeris (jeigu taikytina):</v>
      </c>
      <c r="K1675" s="1537"/>
      <c r="L1675" s="1537"/>
      <c r="M1675" s="1538"/>
      <c r="N1675" s="1289"/>
      <c r="O1675" s="733"/>
      <c r="P1675" s="33"/>
      <c r="Q1675" s="33"/>
      <c r="R1675" s="33"/>
      <c r="S1675" s="1290"/>
      <c r="T1675" s="492"/>
      <c r="U1675" s="492"/>
      <c r="V1675" s="48" t="b">
        <f>IF(V1665="",FALSE,INDEX(CNTR_IsWaste,MATCH(V1665,MSParameters!$A$218:$A$376,0)))</f>
        <v>0</v>
      </c>
      <c r="W1675" s="1290"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hidden="1" customHeight="1">
      <c r="A1676" s="808"/>
      <c r="B1676" s="166"/>
      <c r="C1676" s="166"/>
      <c r="D1676" s="615"/>
      <c r="E1676" s="495"/>
      <c r="F1676" s="495"/>
      <c r="G1676" s="495"/>
      <c r="H1676" s="495"/>
      <c r="I1676" s="495"/>
      <c r="J1676" s="495"/>
      <c r="K1676" s="495"/>
      <c r="L1676" s="495"/>
      <c r="M1676" s="495"/>
      <c r="N1676" s="495"/>
      <c r="O1676" s="733"/>
      <c r="P1676" s="33"/>
      <c r="Q1676" s="33"/>
      <c r="R1676" s="33"/>
      <c r="S1676" s="174"/>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hidden="1" customHeight="1">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3"/>
      <c r="Q1677" s="33"/>
      <c r="R1677" s="33"/>
      <c r="S1677" s="174"/>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4.5" hidden="1" customHeight="1">
      <c r="A1678" s="815"/>
      <c r="D1678" s="180"/>
      <c r="O1678" s="573"/>
      <c r="P1678" s="497"/>
      <c r="Q1678" s="497"/>
      <c r="R1678" s="497"/>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hidden="1">
      <c r="A1679" s="815"/>
      <c r="D1679" s="1534" t="str">
        <f>Translations!$B$160</f>
        <v>Pastabos:</v>
      </c>
      <c r="E1679" s="1535"/>
      <c r="F1679" s="1539"/>
      <c r="G1679" s="1540"/>
      <c r="H1679" s="1540"/>
      <c r="I1679" s="1540"/>
      <c r="J1679" s="1540"/>
      <c r="K1679" s="1540"/>
      <c r="L1679" s="1540"/>
      <c r="M1679" s="1540"/>
      <c r="N1679" s="1541"/>
      <c r="O1679" s="573"/>
      <c r="P1679" s="497"/>
      <c r="Q1679" s="497"/>
      <c r="R1679" s="497"/>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c r="A1680" s="808"/>
      <c r="B1680" s="495"/>
      <c r="C1680" s="499"/>
      <c r="D1680" s="500"/>
      <c r="E1680" s="501"/>
      <c r="F1680" s="499"/>
      <c r="G1680" s="502"/>
      <c r="H1680" s="502"/>
      <c r="I1680" s="502"/>
      <c r="J1680" s="502"/>
      <c r="K1680" s="502"/>
      <c r="L1680" s="502"/>
      <c r="M1680" s="502"/>
      <c r="N1680" s="502"/>
      <c r="O1680" s="740"/>
      <c r="P1680" s="494"/>
      <c r="Q1680" s="494"/>
      <c r="R1680" s="494"/>
      <c r="S1680" s="58"/>
      <c r="T1680" s="58"/>
      <c r="U1680" s="498"/>
      <c r="V1680" s="58"/>
      <c r="W1680" s="58"/>
      <c r="X1680" s="49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c r="A1681" s="813"/>
      <c r="B1681" s="495"/>
      <c r="C1681" s="495"/>
      <c r="D1681" s="180"/>
      <c r="E1681" s="496"/>
      <c r="F1681" s="495"/>
      <c r="G1681" s="487"/>
      <c r="H1681" s="487"/>
      <c r="I1681" s="487"/>
      <c r="J1681" s="487"/>
      <c r="K1681" s="495"/>
      <c r="L1681" s="487"/>
      <c r="M1681" s="487"/>
      <c r="N1681" s="487"/>
      <c r="O1681" s="740"/>
      <c r="P1681" s="494"/>
      <c r="Q1681" s="494"/>
      <c r="R1681" s="494"/>
      <c r="S1681" s="23"/>
      <c r="T1681" s="27" t="str">
        <f>IF(ISBLANK(E1682),"",MATCH(E1682,CNTR_SourceStreamNames,0))</f>
        <v/>
      </c>
      <c r="U1681" s="618"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1"/>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3" t="s">
        <v>262</v>
      </c>
    </row>
    <row r="1682" spans="1:78" s="142" customFormat="1" ht="15" hidden="1" customHeight="1" thickBot="1">
      <c r="A1682" s="869" t="str">
        <f>IF(E1682="","","PRINT")</f>
        <v/>
      </c>
      <c r="B1682" s="166"/>
      <c r="C1682" s="617">
        <f>C1655+1</f>
        <v>61</v>
      </c>
      <c r="D1682" s="166"/>
      <c r="E1682" s="1542"/>
      <c r="F1682" s="1543"/>
      <c r="G1682" s="1543"/>
      <c r="H1682" s="1543"/>
      <c r="I1682" s="1543"/>
      <c r="J1682" s="1544"/>
      <c r="K1682" s="1545" t="str">
        <f>IF(E1683="","",INDEX(EUwideConstants!$F$353:$F$394,MATCH(E1683,EUConst_TierActivityListNames,0)))</f>
        <v/>
      </c>
      <c r="L1682" s="1546"/>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3"/>
      <c r="T1682" s="509" t="s">
        <v>393</v>
      </c>
      <c r="U1682" s="23"/>
      <c r="V1682" s="78"/>
      <c r="W1682" s="56"/>
      <c r="X1682" s="58"/>
      <c r="Y1682" s="58"/>
      <c r="Z1682" s="58"/>
      <c r="AA1682" s="58"/>
      <c r="AB1682" s="58"/>
      <c r="AC1682" s="58"/>
      <c r="AD1682" s="58"/>
      <c r="AE1682" s="58"/>
      <c r="AF1682" s="58"/>
      <c r="AG1682" s="58"/>
      <c r="AH1682" s="58"/>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6"/>
      <c r="BZ1682" s="619" t="b">
        <f>CNTR_CalcRelevant=EUconst_NotRelevant</f>
        <v>0</v>
      </c>
    </row>
    <row r="1683" spans="1:78" s="142" customFormat="1" ht="15" hidden="1" customHeight="1" thickBot="1">
      <c r="A1683" s="808"/>
      <c r="B1683" s="166"/>
      <c r="C1683" s="166"/>
      <c r="D1683" s="166"/>
      <c r="E1683" s="1547" t="str">
        <f>IF(ISBLANK(E1682),"",IF(INDEX(B_InstallationDescription!$E$71:$E$145,MATCH(U1681,B_InstallationDescription!$D$71:$D$145,0))&gt;0,INDEX(B_InstallationDescription!$E$71:$E$145,MATCH(U1681,B_InstallationDescription!$D$71:$D$145,0)),""))</f>
        <v/>
      </c>
      <c r="F1683" s="1548"/>
      <c r="G1683" s="1548"/>
      <c r="H1683" s="1548"/>
      <c r="I1683" s="1548"/>
      <c r="J1683" s="1549"/>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4"/>
      <c r="AH1683" s="30"/>
      <c r="AI1683" s="30"/>
      <c r="AJ1683" s="504"/>
      <c r="AK1683" s="504"/>
      <c r="AL1683" s="342"/>
      <c r="AM1683" s="27" t="s">
        <v>308</v>
      </c>
      <c r="AN1683" s="505"/>
      <c r="AO1683" s="505"/>
      <c r="AP1683" s="30"/>
      <c r="AQ1683" s="30"/>
      <c r="AR1683" s="30"/>
      <c r="AS1683" s="30"/>
      <c r="AT1683" s="30"/>
      <c r="AU1683" s="30"/>
      <c r="AV1683" s="27" t="s">
        <v>315</v>
      </c>
      <c r="AW1683" s="30"/>
      <c r="AX1683" s="492"/>
      <c r="AY1683" s="30"/>
      <c r="AZ1683" s="30"/>
      <c r="BA1683" s="30"/>
      <c r="BB1683" s="27" t="s">
        <v>219</v>
      </c>
      <c r="BC1683" s="30"/>
      <c r="BD1683" s="30"/>
      <c r="BE1683" s="30"/>
      <c r="BF1683" s="30"/>
      <c r="BG1683" s="27"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0"/>
      <c r="BZ1683" s="30"/>
    </row>
    <row r="1684" spans="1:78" s="142" customFormat="1" ht="4.5" hidden="1" customHeight="1">
      <c r="A1684" s="808"/>
      <c r="B1684" s="166"/>
      <c r="C1684" s="166"/>
      <c r="D1684" s="166"/>
      <c r="E1684" s="166"/>
      <c r="F1684" s="166"/>
      <c r="G1684" s="166"/>
      <c r="M1684" s="143"/>
      <c r="N1684" s="143"/>
      <c r="O1684" s="733"/>
      <c r="P1684" s="33"/>
      <c r="Q1684" s="33"/>
      <c r="R1684" s="33"/>
      <c r="S1684" s="23"/>
      <c r="T1684" s="23"/>
      <c r="U1684" s="23"/>
      <c r="V1684" s="78"/>
      <c r="W1684" s="30"/>
      <c r="X1684" s="30"/>
      <c r="Y1684" s="494"/>
      <c r="Z1684" s="30"/>
      <c r="AA1684" s="30"/>
      <c r="AB1684" s="30"/>
      <c r="AC1684" s="30"/>
      <c r="AD1684" s="30"/>
      <c r="AE1684" s="30"/>
      <c r="AF1684" s="58"/>
      <c r="AG1684" s="30"/>
      <c r="AH1684" s="30"/>
      <c r="AI1684" s="30"/>
      <c r="AJ1684" s="504"/>
      <c r="AK1684" s="504"/>
      <c r="AL1684" s="342"/>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8.25" hidden="1" customHeight="1" thickBot="1">
      <c r="A1685" s="808"/>
      <c r="B1685" s="166"/>
      <c r="C1685" s="166"/>
      <c r="D1685" s="166"/>
      <c r="E1685" s="1550" t="str">
        <f>IF(E1682="","",IF(T1683=TRUE,HYPERLINK("#JUMP_14",EUconst_MsgGoOnPFC),HYPERLINK("#JUMP_E_8",EUconst_FurtherGuidancePoint1)))</f>
        <v/>
      </c>
      <c r="F1685" s="1550"/>
      <c r="G1685" s="1550"/>
      <c r="H1685" s="1550"/>
      <c r="I1685" s="1550"/>
      <c r="J1685" s="1550"/>
      <c r="K1685" s="1550"/>
      <c r="L1685" s="1550"/>
      <c r="M1685" s="1550"/>
      <c r="N1685" s="143"/>
      <c r="O1685" s="733"/>
      <c r="P1685" s="33"/>
      <c r="Q1685" s="352" t="str">
        <f>EUconst_SumNonSustBioCO2 &amp; "_" &amp; K1682</f>
        <v>SUM_bioNonSustCO2_</v>
      </c>
      <c r="R1685" s="707"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4"/>
      <c r="AK1685" s="504"/>
      <c r="AL1685" s="342"/>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4.5" hidden="1" customHeight="1">
      <c r="A1686" s="808"/>
      <c r="B1686" s="166"/>
      <c r="C1686" s="166"/>
      <c r="D1686" s="166"/>
      <c r="E1686" s="166"/>
      <c r="F1686" s="166"/>
      <c r="G1686" s="166"/>
      <c r="M1686" s="143"/>
      <c r="N1686" s="143"/>
      <c r="O1686" s="733"/>
      <c r="P1686" s="23"/>
      <c r="Q1686" s="23"/>
      <c r="R1686" s="23"/>
      <c r="S1686" s="23"/>
      <c r="T1686" s="23"/>
      <c r="U1686" s="23"/>
      <c r="V1686" s="30"/>
      <c r="W1686" s="30"/>
      <c r="X1686" s="30"/>
      <c r="Y1686" s="494"/>
      <c r="Z1686" s="30"/>
      <c r="AA1686" s="30"/>
      <c r="AB1686" s="30"/>
      <c r="AC1686" s="30"/>
      <c r="AD1686" s="30"/>
      <c r="AE1686" s="30"/>
      <c r="AF1686" s="58"/>
      <c r="AG1686" s="30"/>
      <c r="AH1686" s="30"/>
      <c r="AI1686" s="30"/>
      <c r="AJ1686" s="504"/>
      <c r="AK1686" s="504"/>
      <c r="AL1686" s="342"/>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hidden="1" customHeight="1" thickBot="1">
      <c r="A1687" s="808"/>
      <c r="B1687" s="166"/>
      <c r="C1687" s="814" t="s">
        <v>4</v>
      </c>
      <c r="D1687" s="512" t="str">
        <f>Translations!$B$622</f>
        <v>VD:</v>
      </c>
      <c r="E1687" s="1560" t="str">
        <f>Translations!$B$667</f>
        <v>Ar veiklos duomenys gaunami sudedant išmatuotus kiekius (t. y. ne atliekant nuolatinius matavimus)?</v>
      </c>
      <c r="F1687" s="1560"/>
      <c r="G1687" s="1560"/>
      <c r="H1687" s="1560"/>
      <c r="I1687" s="1560"/>
      <c r="J1687" s="1560"/>
      <c r="K1687" s="1560"/>
      <c r="L1687" s="1179"/>
      <c r="M1687" s="507"/>
      <c r="O1687" s="733"/>
      <c r="P1687" s="23"/>
      <c r="Q1687" s="23"/>
      <c r="R1687" s="23"/>
      <c r="S1687" s="23"/>
      <c r="T1687" s="23"/>
      <c r="U1687" s="23"/>
      <c r="V1687" s="30"/>
      <c r="W1687" s="30"/>
      <c r="X1687" s="30"/>
      <c r="Y1687" s="494"/>
      <c r="Z1687" s="30"/>
      <c r="AA1687" s="30"/>
      <c r="AB1687" s="30"/>
      <c r="AC1687" s="1172" t="b">
        <f>AND(E1682&lt;&gt;"",T1683&lt;&gt;TRUE)</f>
        <v>0</v>
      </c>
      <c r="AD1687" s="30"/>
      <c r="AE1687" s="30"/>
      <c r="AF1687" s="58"/>
      <c r="AG1687" s="30"/>
      <c r="AH1687" s="30"/>
      <c r="AI1687" s="30"/>
      <c r="AJ1687" s="504"/>
      <c r="AK1687" s="504"/>
      <c r="AL1687" s="342"/>
      <c r="AM1687" s="30"/>
      <c r="AN1687" s="30"/>
      <c r="AO1687" s="30"/>
      <c r="AP1687" s="30"/>
      <c r="AQ1687" s="30"/>
      <c r="AR1687" s="30"/>
      <c r="AS1687" s="30"/>
      <c r="AT1687" s="1172"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2" t="b">
        <f>OR(CNTR_CalcRelevant=EUconst_NotRelevant,AND(COUNTA(CNTR_ListRelevantSections)&gt;0,OR(T1683=TRUE,E1682="")))</f>
        <v>1</v>
      </c>
    </row>
    <row r="1688" spans="1:78" s="142" customFormat="1" ht="4.5" hidden="1" customHeight="1">
      <c r="A1688" s="808"/>
      <c r="B1688" s="166"/>
      <c r="C1688" s="166"/>
      <c r="D1688" s="166"/>
      <c r="E1688" s="166"/>
      <c r="F1688" s="166"/>
      <c r="G1688" s="166"/>
      <c r="H1688" s="495"/>
      <c r="I1688" s="495"/>
      <c r="J1688" s="495"/>
      <c r="K1688" s="495"/>
      <c r="L1688" s="495"/>
      <c r="M1688" s="507"/>
      <c r="O1688" s="733"/>
      <c r="P1688" s="23"/>
      <c r="Q1688" s="23"/>
      <c r="R1688" s="23"/>
      <c r="S1688" s="23"/>
      <c r="T1688" s="23"/>
      <c r="U1688" s="23"/>
      <c r="V1688" s="30"/>
      <c r="W1688" s="30"/>
      <c r="X1688" s="30"/>
      <c r="Y1688" s="494"/>
      <c r="Z1688" s="30"/>
      <c r="AA1688" s="30"/>
      <c r="AB1688" s="30"/>
      <c r="AC1688" s="492"/>
      <c r="AD1688" s="30"/>
      <c r="AE1688" s="30"/>
      <c r="AF1688" s="58"/>
      <c r="AG1688" s="30"/>
      <c r="AH1688" s="30"/>
      <c r="AI1688" s="30"/>
      <c r="AJ1688" s="504"/>
      <c r="AK1688" s="504"/>
      <c r="AL1688" s="342"/>
      <c r="AM1688" s="30"/>
      <c r="AN1688" s="30"/>
      <c r="AO1688" s="30"/>
      <c r="AP1688" s="30"/>
      <c r="AQ1688" s="30"/>
      <c r="AR1688" s="30"/>
      <c r="AS1688" s="30"/>
      <c r="AT1688" s="492"/>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2"/>
    </row>
    <row r="1689" spans="1:78" s="142" customFormat="1" ht="12.75" hidden="1" customHeight="1" thickBot="1">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3"/>
      <c r="Q1689" s="23"/>
      <c r="R1689" s="23"/>
      <c r="S1689" s="23"/>
      <c r="T1689" s="23"/>
      <c r="U1689" s="23"/>
      <c r="V1689" s="30"/>
      <c r="W1689" s="30"/>
      <c r="X1689" s="30"/>
      <c r="Y1689" s="494"/>
      <c r="Z1689" s="30"/>
      <c r="AA1689" s="30"/>
      <c r="AB1689" s="30"/>
      <c r="AC1689" s="1172" t="b">
        <f>AC1687</f>
        <v>0</v>
      </c>
      <c r="AD1689" s="30"/>
      <c r="AE1689" s="30"/>
      <c r="AF1689" s="58"/>
      <c r="AG1689" s="30"/>
      <c r="AH1689" s="30"/>
      <c r="AI1689" s="30"/>
      <c r="AJ1689" s="504"/>
      <c r="AK1689" s="504"/>
      <c r="AL1689" s="342"/>
      <c r="AM1689" s="30"/>
      <c r="AN1689" s="30"/>
      <c r="AO1689" s="30"/>
      <c r="AP1689" s="30"/>
      <c r="AQ1689" s="30"/>
      <c r="AR1689" s="30"/>
      <c r="AS1689" s="30"/>
      <c r="AT1689" s="1172"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2" t="b">
        <f>OR(BZ1687,AND(NOT(ISBLANK(L1687)),L1687=FALSE))</f>
        <v>1</v>
      </c>
    </row>
    <row r="1690" spans="1:78" s="142" customFormat="1" ht="5.0999999999999996" hidden="1" customHeight="1">
      <c r="A1690" s="808"/>
      <c r="B1690" s="166"/>
      <c r="C1690" s="166"/>
      <c r="D1690" s="166"/>
      <c r="E1690" s="166"/>
      <c r="F1690" s="166"/>
      <c r="G1690" s="166"/>
      <c r="M1690" s="143"/>
      <c r="N1690" s="143"/>
      <c r="O1690" s="733"/>
      <c r="P1690" s="23"/>
      <c r="Q1690" s="23"/>
      <c r="R1690" s="23"/>
      <c r="S1690" s="23"/>
      <c r="T1690" s="23"/>
      <c r="U1690" s="23"/>
      <c r="V1690" s="30"/>
      <c r="W1690" s="30"/>
      <c r="X1690" s="30"/>
      <c r="Y1690" s="494"/>
      <c r="Z1690" s="30"/>
      <c r="AA1690" s="30"/>
      <c r="AB1690" s="30"/>
      <c r="AC1690" s="30"/>
      <c r="AD1690" s="30"/>
      <c r="AE1690" s="30"/>
      <c r="AF1690" s="58"/>
      <c r="AG1690" s="30"/>
      <c r="AH1690" s="30"/>
      <c r="AI1690" s="30"/>
      <c r="AJ1690" s="504"/>
      <c r="AK1690" s="504"/>
      <c r="AL1690" s="342"/>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hidden="1" customHeight="1" thickBot="1">
      <c r="A1691" s="808"/>
      <c r="B1691" s="166"/>
      <c r="C1691" s="166"/>
      <c r="D1691" s="166"/>
      <c r="E1691" s="166"/>
      <c r="F1691" s="506" t="str">
        <f>Translations!$B$333</f>
        <v>Pakopa</v>
      </c>
      <c r="G1691" s="1557" t="str">
        <f>Translations!$B$672</f>
        <v>pakopos aprašas</v>
      </c>
      <c r="H1691" s="1557"/>
      <c r="I1691" s="1555" t="str">
        <f>Translations!$B$158</f>
        <v>Vienetas</v>
      </c>
      <c r="J1691" s="1555"/>
      <c r="K1691" s="1555" t="str">
        <f>Translations!$B$673</f>
        <v>Vertė</v>
      </c>
      <c r="L1691" s="1555"/>
      <c r="M1691" s="507" t="str">
        <f>Translations!$B$610</f>
        <v>klaida</v>
      </c>
      <c r="O1691" s="733"/>
      <c r="P1691" s="508"/>
      <c r="Q1691" s="352" t="str">
        <f>EUconst_SumEnergyIN &amp; "_" &amp; K1682</f>
        <v>SUM_EnergyIN_</v>
      </c>
      <c r="R1691" s="399" t="str">
        <f>IF(OR(K1682="",T1683)=TRUE,"",INDEX(BC1697:BE1697,MATCH(K1682,BC1692:BE1692,0)))</f>
        <v/>
      </c>
      <c r="S1691" s="30"/>
      <c r="T1691" s="489"/>
      <c r="U1691" s="30"/>
      <c r="V1691" s="509" t="s">
        <v>303</v>
      </c>
      <c r="W1691" s="30"/>
      <c r="X1691" s="30"/>
      <c r="Y1691" s="494" t="s">
        <v>566</v>
      </c>
      <c r="Z1691" s="494" t="s">
        <v>318</v>
      </c>
      <c r="AA1691" s="30"/>
      <c r="AB1691" s="30"/>
      <c r="AC1691" s="505" t="s">
        <v>309</v>
      </c>
      <c r="AD1691" s="30"/>
      <c r="AE1691" s="30"/>
      <c r="AF1691" s="492" t="s">
        <v>305</v>
      </c>
      <c r="AG1691" s="492" t="s">
        <v>306</v>
      </c>
      <c r="AH1691" s="494" t="s">
        <v>304</v>
      </c>
      <c r="AI1691" s="504" t="s">
        <v>307</v>
      </c>
      <c r="AJ1691" s="504" t="s">
        <v>567</v>
      </c>
      <c r="AK1691" s="510" t="s">
        <v>311</v>
      </c>
      <c r="AL1691" s="342"/>
      <c r="AM1691" s="30"/>
      <c r="AN1691" s="492" t="s">
        <v>305</v>
      </c>
      <c r="AO1691" s="492" t="s">
        <v>306</v>
      </c>
      <c r="AP1691" s="511" t="s">
        <v>310</v>
      </c>
      <c r="AQ1691" s="504" t="s">
        <v>569</v>
      </c>
      <c r="AR1691" s="504" t="s">
        <v>568</v>
      </c>
      <c r="AS1691" s="510" t="s">
        <v>609</v>
      </c>
      <c r="AT1691" s="510" t="s">
        <v>609</v>
      </c>
      <c r="AU1691" s="30"/>
      <c r="AV1691" s="492"/>
      <c r="AW1691" s="492"/>
      <c r="AX1691" s="492" t="s">
        <v>321</v>
      </c>
      <c r="AY1691" s="492"/>
      <c r="AZ1691" s="492"/>
      <c r="BA1691" s="492"/>
      <c r="BB1691" s="492"/>
      <c r="BC1691" s="492"/>
      <c r="BD1691" s="492"/>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3" t="s">
        <v>262</v>
      </c>
    </row>
    <row r="1692" spans="1:78" s="142" customFormat="1" ht="12.75" hidden="1" customHeight="1" thickBot="1">
      <c r="A1692" s="808"/>
      <c r="B1692" s="166"/>
      <c r="C1692" s="777" t="s">
        <v>196</v>
      </c>
      <c r="D1692" s="512" t="str">
        <f>Translations!$B$622</f>
        <v>VD:</v>
      </c>
      <c r="E1692" s="513"/>
      <c r="F1692" s="402"/>
      <c r="G1692" s="1532" t="str">
        <f>IF(OR(ISBLANK(F1692),F1692=EUconst_NoTier),"",IF(Z1692=0,EUconst_NA,IF(ISERROR(Z1692),"",Z1692)))</f>
        <v/>
      </c>
      <c r="H1692" s="1533"/>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0"/>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0"/>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0"/>
      <c r="AV1692" s="492" t="s">
        <v>314</v>
      </c>
      <c r="AW1692" s="492" t="s">
        <v>319</v>
      </c>
      <c r="AX1692" s="524"/>
      <c r="AY1692" s="30" t="s">
        <v>542</v>
      </c>
      <c r="AZ1692" s="30"/>
      <c r="BA1692" s="30"/>
      <c r="BB1692" s="504"/>
      <c r="BC1692" s="493" t="str">
        <f>EUconst_Fuel</f>
        <v>Degimas</v>
      </c>
      <c r="BD1692" s="493" t="str">
        <f>EUconst_ProcessCarbonate</f>
        <v>Proceso metu išsiskiriančios ŠESD</v>
      </c>
      <c r="BE1692" s="493"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4" t="b">
        <f>BZ1687</f>
        <v>1</v>
      </c>
    </row>
    <row r="1693" spans="1:78" s="142" customFormat="1" ht="4.5" hidden="1" customHeight="1">
      <c r="A1693" s="808"/>
      <c r="B1693" s="166"/>
      <c r="C1693" s="814"/>
      <c r="D1693" s="306"/>
      <c r="F1693" s="143"/>
      <c r="G1693" s="143"/>
      <c r="H1693" s="143" t="s">
        <v>236</v>
      </c>
      <c r="I1693" s="525"/>
      <c r="J1693" s="525"/>
      <c r="K1693" s="143"/>
      <c r="L1693" s="143"/>
      <c r="M1693" s="710"/>
      <c r="O1693" s="733"/>
      <c r="P1693" s="33"/>
      <c r="Q1693" s="33"/>
      <c r="R1693" s="33"/>
      <c r="S1693" s="30"/>
      <c r="T1693" s="155"/>
      <c r="U1693" s="497"/>
      <c r="V1693" s="30"/>
      <c r="W1693" s="30"/>
      <c r="X1693" s="497"/>
      <c r="Y1693" s="526"/>
      <c r="Z1693" s="30"/>
      <c r="AA1693" s="30"/>
      <c r="AB1693" s="30"/>
      <c r="AC1693" s="30"/>
      <c r="AD1693" s="30"/>
      <c r="AE1693" s="30"/>
      <c r="AF1693" s="30"/>
      <c r="AG1693" s="30"/>
      <c r="AH1693" s="30"/>
      <c r="AI1693" s="30"/>
      <c r="AJ1693" s="30"/>
      <c r="AK1693" s="30"/>
      <c r="AL1693" s="342"/>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3"/>
    </row>
    <row r="1694" spans="1:78" s="142" customFormat="1" ht="12.75" hidden="1" customHeight="1" thickBot="1">
      <c r="A1694" s="808"/>
      <c r="B1694" s="166"/>
      <c r="C1694" s="814" t="s">
        <v>197</v>
      </c>
      <c r="D1694" s="512" t="str">
        <f>Translations!$B$634</f>
        <v>(prelim.) ITF:</v>
      </c>
      <c r="E1694" s="513"/>
      <c r="F1694" s="527"/>
      <c r="G1694" s="1532" t="str">
        <f t="shared" ref="G1694:G1700" si="420">IF(OR(ISBLANK(F1694),F1694=EUconst_NoTier),"",IF(Z1694=0,EUconst_NotApplicable,IF(ISERROR(Z1694),"",Z1694)))</f>
        <v/>
      </c>
      <c r="H1694" s="1556"/>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3"/>
      <c r="Q1694" s="33"/>
      <c r="R1694" s="33"/>
      <c r="S1694" s="30"/>
      <c r="T1694" s="530" t="str">
        <f>EUconst_CNTR_EF&amp;E1683</f>
        <v>EF_</v>
      </c>
      <c r="U1694" s="497"/>
      <c r="V1694" s="531" t="str">
        <f>V1692</f>
        <v/>
      </c>
      <c r="W1694" s="30"/>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0"/>
      <c r="AC1694" s="535" t="b">
        <f>AND(AC1692,Y1694&lt;&gt;EUconst_NA)</f>
        <v>0</v>
      </c>
      <c r="AD1694" s="30"/>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0"/>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0"/>
      <c r="BA1694" s="30"/>
      <c r="BB1694" s="547" t="s">
        <v>594</v>
      </c>
      <c r="BC1694" s="546" t="str">
        <f>IF(K1682=BC1692,AR1692*IF(AJ1694=EUconst_tCO2pTJ,(AR1695/1000),1)*AR1694*AR1696*AR1700,"")</f>
        <v/>
      </c>
      <c r="BD1694" s="524" t="str">
        <f>IF(K1682=BD1692,AR1692*AR1694*AR1697*AR1700,"")</f>
        <v/>
      </c>
      <c r="BE1694" s="523"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1" t="b">
        <f>OR(BZ1692,Y1694=EUconst_NA)</f>
        <v>1</v>
      </c>
    </row>
    <row r="1695" spans="1:78" s="142" customFormat="1" ht="12.75" hidden="1" customHeight="1" thickBot="1">
      <c r="A1695" s="808"/>
      <c r="B1695" s="166"/>
      <c r="C1695" s="814" t="s">
        <v>198</v>
      </c>
      <c r="D1695" s="512" t="str">
        <f>Translations!$B$636</f>
        <v>GŠV:</v>
      </c>
      <c r="E1695" s="513"/>
      <c r="F1695" s="548"/>
      <c r="G1695" s="1532" t="str">
        <f t="shared" si="420"/>
        <v/>
      </c>
      <c r="H1695" s="1533"/>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3"/>
      <c r="Q1695" s="33"/>
      <c r="R1695" s="33"/>
      <c r="S1695" s="30"/>
      <c r="T1695" s="552" t="str">
        <f>EUconst_CNTR_NCV&amp;E1683</f>
        <v>NCV_</v>
      </c>
      <c r="U1695" s="497"/>
      <c r="V1695" s="553" t="str">
        <f t="shared" ref="V1695:V1700" si="426">V1694</f>
        <v/>
      </c>
      <c r="W1695" s="30"/>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0"/>
      <c r="AC1695" s="557" t="b">
        <f>AND(AC1692,Y1695&lt;&gt;EUconst_NA)</f>
        <v>0</v>
      </c>
      <c r="AD1695" s="30"/>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0"/>
      <c r="AV1695" s="567" t="b">
        <f t="shared" si="423"/>
        <v>0</v>
      </c>
      <c r="AW1695" s="568" t="b">
        <f t="shared" si="424"/>
        <v>0</v>
      </c>
      <c r="AX1695" s="30"/>
      <c r="AY1695" s="553" t="b">
        <f t="shared" si="425"/>
        <v>0</v>
      </c>
      <c r="AZ1695" s="30"/>
      <c r="BA1695" s="30"/>
      <c r="BB1695" s="547" t="s">
        <v>595</v>
      </c>
      <c r="BC1695" s="546" t="str">
        <f>IF(K1682=BC1692,AR1692*IF(AJ1694=EUconst_tCO2pTJ,(AR1695/1000),1)*AR1694*AR1696*AR1699,"")</f>
        <v/>
      </c>
      <c r="BD1695" s="524" t="str">
        <f>IF(K1682=BD1692,AR1692*AR1694*AR1697*AR1699,"")</f>
        <v/>
      </c>
      <c r="BE1695" s="523"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3" t="b">
        <f>OR(BZ1692,Y1695=EUconst_NA)</f>
        <v>1</v>
      </c>
    </row>
    <row r="1696" spans="1:78" s="142" customFormat="1" ht="12.75" hidden="1" customHeight="1" thickBot="1">
      <c r="A1696" s="808"/>
      <c r="B1696" s="166"/>
      <c r="C1696" s="814" t="s">
        <v>199</v>
      </c>
      <c r="D1696" s="512" t="str">
        <f>Translations!$B$638</f>
        <v>OksK:</v>
      </c>
      <c r="E1696" s="513"/>
      <c r="F1696" s="548"/>
      <c r="G1696" s="1532" t="str">
        <f t="shared" si="420"/>
        <v/>
      </c>
      <c r="H1696" s="1533"/>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3"/>
      <c r="Q1696" s="33"/>
      <c r="R1696" s="33"/>
      <c r="S1696" s="30"/>
      <c r="T1696" s="552" t="str">
        <f>EUconst_CNTR_OxidationFactor&amp;E1683</f>
        <v>OxF_</v>
      </c>
      <c r="U1696" s="497"/>
      <c r="V1696" s="553" t="str">
        <f t="shared" si="426"/>
        <v/>
      </c>
      <c r="W1696" s="30"/>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0"/>
      <c r="AC1696" s="557" t="b">
        <f>AND(AC1692,Y1696&lt;&gt;EUconst_NA)</f>
        <v>0</v>
      </c>
      <c r="AD1696" s="30"/>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0"/>
      <c r="AV1696" s="567" t="b">
        <f t="shared" si="423"/>
        <v>0</v>
      </c>
      <c r="AW1696" s="568" t="b">
        <f t="shared" si="424"/>
        <v>0</v>
      </c>
      <c r="AX1696" s="30"/>
      <c r="AY1696" s="594" t="b">
        <f t="shared" si="425"/>
        <v>0</v>
      </c>
      <c r="AZ1696" s="531" t="b">
        <f>AR1696&gt;100%</f>
        <v>0</v>
      </c>
      <c r="BA1696" s="30"/>
      <c r="BB1696" s="547" t="s">
        <v>290</v>
      </c>
      <c r="BC1696" s="546" t="str">
        <f>IF(K1682=BC1692,AR1692*IF(AJ1694=EUconst_tCO2pTJ,(AR1695/1000),1)*AR1694*AR1696*(1-AR1699),"")</f>
        <v/>
      </c>
      <c r="BD1696" s="524" t="str">
        <f>IF(K1682=BD1692,AR1692*AR1694*AR1697*(1-AR1699),"")</f>
        <v/>
      </c>
      <c r="BE1696" s="523"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3" t="b">
        <f>OR(BZ1692,Y1696=EUconst_NA)</f>
        <v>1</v>
      </c>
    </row>
    <row r="1697" spans="1:78" s="142" customFormat="1" ht="12.75" hidden="1" customHeight="1" thickBot="1">
      <c r="A1697" s="808"/>
      <c r="B1697" s="166"/>
      <c r="C1697" s="814" t="s">
        <v>200</v>
      </c>
      <c r="D1697" s="512" t="str">
        <f>Translations!$B$639</f>
        <v>KonvK:</v>
      </c>
      <c r="E1697" s="513"/>
      <c r="F1697" s="548"/>
      <c r="G1697" s="1532" t="str">
        <f t="shared" si="420"/>
        <v/>
      </c>
      <c r="H1697" s="1533"/>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3"/>
      <c r="Q1697" s="33"/>
      <c r="R1697" s="33"/>
      <c r="S1697" s="30"/>
      <c r="T1697" s="552" t="str">
        <f>EUconst_CNTR_ConversionFactor&amp;E1683</f>
        <v>ConvF_</v>
      </c>
      <c r="U1697" s="497"/>
      <c r="V1697" s="553" t="str">
        <f t="shared" si="426"/>
        <v/>
      </c>
      <c r="W1697" s="30"/>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0"/>
      <c r="AC1697" s="557" t="b">
        <f>AND(AC1692,Y1697&lt;&gt;EUconst_NA)</f>
        <v>0</v>
      </c>
      <c r="AD1697" s="30"/>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0"/>
      <c r="AV1697" s="567" t="b">
        <f t="shared" si="423"/>
        <v>0</v>
      </c>
      <c r="AW1697" s="568" t="b">
        <f t="shared" si="424"/>
        <v>0</v>
      </c>
      <c r="AX1697" s="30"/>
      <c r="AY1697" s="594" t="b">
        <f t="shared" si="425"/>
        <v>0</v>
      </c>
      <c r="AZ1697" s="580" t="b">
        <f>AR1697&gt;100%</f>
        <v>0</v>
      </c>
      <c r="BA1697" s="30"/>
      <c r="BB1697" s="578" t="s">
        <v>487</v>
      </c>
      <c r="BC1697" s="579">
        <f>AR1692*AR1695/1000*(1-AR1699)</f>
        <v>0</v>
      </c>
      <c r="BD1697" s="580">
        <f>BC1697</f>
        <v>0</v>
      </c>
      <c r="BE1697" s="581">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3" t="b">
        <f>OR(BZ1692,Y1697=EUconst_NA)</f>
        <v>1</v>
      </c>
    </row>
    <row r="1698" spans="1:78" s="142" customFormat="1" ht="12.75" hidden="1" customHeight="1" thickBot="1">
      <c r="A1698" s="808"/>
      <c r="B1698" s="166"/>
      <c r="C1698" s="814" t="s">
        <v>329</v>
      </c>
      <c r="D1698" s="512" t="str">
        <f>Translations!$B$640</f>
        <v>AnglK:</v>
      </c>
      <c r="E1698" s="513"/>
      <c r="F1698" s="548"/>
      <c r="G1698" s="1532" t="str">
        <f t="shared" si="420"/>
        <v/>
      </c>
      <c r="H1698" s="1533"/>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3"/>
      <c r="Q1698" s="33"/>
      <c r="R1698" s="33"/>
      <c r="S1698" s="30"/>
      <c r="T1698" s="552" t="str">
        <f>EUconst_CNTR_CarbonContent&amp;E1683</f>
        <v>CarbC_</v>
      </c>
      <c r="U1698" s="497"/>
      <c r="V1698" s="553" t="str">
        <f t="shared" si="426"/>
        <v/>
      </c>
      <c r="W1698" s="30"/>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0"/>
      <c r="AC1698" s="557" t="b">
        <f>AND(AC1692,Y1698&lt;&gt;EUconst_NA)</f>
        <v>0</v>
      </c>
      <c r="AD1698" s="30"/>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0"/>
      <c r="AV1698" s="567" t="b">
        <f t="shared" si="423"/>
        <v>0</v>
      </c>
      <c r="AW1698" s="568" t="b">
        <f t="shared" si="424"/>
        <v>0</v>
      </c>
      <c r="AX1698" s="546" t="b">
        <f>OR(AND(AJ1692=EUconst_kNm3,AJ1698=EUconst_tCpt),AND(AJ1692=EUconst_t,AJ1698=EUconst_tCpkNm3))</f>
        <v>0</v>
      </c>
      <c r="AY1698" s="553" t="b">
        <f t="shared" si="425"/>
        <v>0</v>
      </c>
      <c r="AZ1698" s="30"/>
      <c r="BA1698" s="30"/>
      <c r="BB1698" s="578" t="s">
        <v>488</v>
      </c>
      <c r="BC1698" s="579">
        <f>AR1692*AR1695/1000*AR1699</f>
        <v>0</v>
      </c>
      <c r="BD1698" s="580">
        <f>BC1698</f>
        <v>0</v>
      </c>
      <c r="BE1698" s="581">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3" t="b">
        <f>OR(BZ1692,Y1698=EUconst_NA)</f>
        <v>1</v>
      </c>
    </row>
    <row r="1699" spans="1:78" s="142" customFormat="1" ht="12.75" hidden="1" customHeight="1">
      <c r="A1699" s="808"/>
      <c r="B1699" s="166"/>
      <c r="C1699" s="777" t="s">
        <v>330</v>
      </c>
      <c r="D1699" s="512" t="str">
        <f>Translations!$B$641</f>
        <v>BioC:</v>
      </c>
      <c r="E1699" s="513"/>
      <c r="F1699" s="548"/>
      <c r="G1699" s="1532" t="str">
        <f t="shared" si="420"/>
        <v/>
      </c>
      <c r="H1699" s="1533"/>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0"/>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0"/>
      <c r="AC1699" s="557" t="b">
        <f>AND(AC1692,Y1699&lt;&gt;EUconst_NA)</f>
        <v>0</v>
      </c>
      <c r="AD1699" s="30"/>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0"/>
      <c r="AV1699" s="567" t="b">
        <f t="shared" si="423"/>
        <v>0</v>
      </c>
      <c r="AW1699" s="568" t="b">
        <f t="shared" si="424"/>
        <v>0</v>
      </c>
      <c r="AX1699" s="30"/>
      <c r="AY1699" s="594" t="b">
        <f t="shared" si="425"/>
        <v>0</v>
      </c>
      <c r="AZ1699" s="531"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3" t="b">
        <f>OR(BZ1692,Y1699=EUconst_NA)</f>
        <v>1</v>
      </c>
    </row>
    <row r="1700" spans="1:78" s="142" customFormat="1" ht="12.75" hidden="1" customHeight="1" thickBot="1">
      <c r="A1700" s="808"/>
      <c r="B1700" s="166"/>
      <c r="C1700" s="777" t="s">
        <v>454</v>
      </c>
      <c r="D1700" s="512" t="str">
        <f>Translations!$B$647</f>
        <v>Netvar. BioC:</v>
      </c>
      <c r="E1700" s="513"/>
      <c r="F1700" s="597"/>
      <c r="G1700" s="1532" t="str">
        <f t="shared" si="420"/>
        <v/>
      </c>
      <c r="H1700" s="1533"/>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0"/>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0"/>
      <c r="AC1700" s="603" t="b">
        <f>AND(AC1692,Y1700&lt;&gt;EUconst_NA)</f>
        <v>0</v>
      </c>
      <c r="AD1700" s="30"/>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0"/>
      <c r="AV1700" s="613" t="b">
        <f t="shared" si="423"/>
        <v>0</v>
      </c>
      <c r="AW1700" s="614" t="b">
        <f t="shared" si="424"/>
        <v>0</v>
      </c>
      <c r="AX1700" s="30"/>
      <c r="AY1700" s="579" t="b">
        <f t="shared" si="425"/>
        <v>0</v>
      </c>
      <c r="AZ1700" s="580"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80" t="b">
        <f>OR(BZ1692,Y1700=EUconst_NA)</f>
        <v>1</v>
      </c>
    </row>
    <row r="1701" spans="1:78" s="142" customFormat="1" ht="5.0999999999999996" hidden="1" customHeight="1">
      <c r="A1701" s="808"/>
      <c r="B1701" s="166"/>
      <c r="C1701" s="166"/>
      <c r="D1701" s="180"/>
      <c r="O1701" s="733"/>
      <c r="P1701" s="33"/>
      <c r="Q1701" s="33"/>
      <c r="R1701" s="33"/>
      <c r="S1701" s="174"/>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hidden="1" customHeight="1">
      <c r="A1702" s="808"/>
      <c r="B1702" s="166"/>
      <c r="C1702" s="166"/>
      <c r="D1702" s="1558" t="str">
        <f>Translations!$B$674</f>
        <v>Pakopos galioja nuo:</v>
      </c>
      <c r="E1702" s="1558"/>
      <c r="F1702" s="1559"/>
      <c r="G1702" s="1052"/>
      <c r="H1702" s="615" t="str">
        <f>Translations!$B$675</f>
        <v>iki:</v>
      </c>
      <c r="I1702" s="1052"/>
      <c r="J1702" s="1536" t="str">
        <f>Translations!$B$676</f>
        <v>Atliekų katalogo numeris (jeigu taikytina):</v>
      </c>
      <c r="K1702" s="1537"/>
      <c r="L1702" s="1537"/>
      <c r="M1702" s="1538"/>
      <c r="N1702" s="1289"/>
      <c r="O1702" s="733"/>
      <c r="P1702" s="33"/>
      <c r="Q1702" s="33"/>
      <c r="R1702" s="33"/>
      <c r="S1702" s="1290"/>
      <c r="T1702" s="492"/>
      <c r="U1702" s="492"/>
      <c r="V1702" s="48" t="b">
        <f>IF(V1692="",FALSE,INDEX(CNTR_IsWaste,MATCH(V1692,MSParameters!$A$218:$A$376,0)))</f>
        <v>0</v>
      </c>
      <c r="W1702" s="1290"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4.5" hidden="1" customHeight="1">
      <c r="A1703" s="808"/>
      <c r="B1703" s="166"/>
      <c r="C1703" s="166"/>
      <c r="D1703" s="615"/>
      <c r="E1703" s="495"/>
      <c r="F1703" s="495"/>
      <c r="G1703" s="495"/>
      <c r="H1703" s="495"/>
      <c r="I1703" s="495"/>
      <c r="J1703" s="495"/>
      <c r="K1703" s="495"/>
      <c r="L1703" s="495"/>
      <c r="M1703" s="495"/>
      <c r="N1703" s="495"/>
      <c r="O1703" s="733"/>
      <c r="P1703" s="33"/>
      <c r="Q1703" s="33"/>
      <c r="R1703" s="33"/>
      <c r="S1703" s="174"/>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hidden="1" customHeight="1">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3"/>
      <c r="Q1704" s="33"/>
      <c r="R1704" s="33"/>
      <c r="S1704" s="174"/>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4.5" hidden="1" customHeight="1">
      <c r="A1705" s="815"/>
      <c r="D1705" s="180"/>
      <c r="O1705" s="573"/>
      <c r="P1705" s="497"/>
      <c r="Q1705" s="497"/>
      <c r="R1705" s="497"/>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hidden="1">
      <c r="A1706" s="815"/>
      <c r="D1706" s="1534" t="str">
        <f>Translations!$B$160</f>
        <v>Pastabos:</v>
      </c>
      <c r="E1706" s="1535"/>
      <c r="F1706" s="1539"/>
      <c r="G1706" s="1540"/>
      <c r="H1706" s="1540"/>
      <c r="I1706" s="1540"/>
      <c r="J1706" s="1540"/>
      <c r="K1706" s="1540"/>
      <c r="L1706" s="1540"/>
      <c r="M1706" s="1540"/>
      <c r="N1706" s="1541"/>
      <c r="O1706" s="573"/>
      <c r="P1706" s="497"/>
      <c r="Q1706" s="497"/>
      <c r="R1706" s="497"/>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c r="A1707" s="808"/>
      <c r="B1707" s="495"/>
      <c r="C1707" s="499"/>
      <c r="D1707" s="500"/>
      <c r="E1707" s="501"/>
      <c r="F1707" s="499"/>
      <c r="G1707" s="502"/>
      <c r="H1707" s="502"/>
      <c r="I1707" s="502"/>
      <c r="J1707" s="502"/>
      <c r="K1707" s="502"/>
      <c r="L1707" s="502"/>
      <c r="M1707" s="502"/>
      <c r="N1707" s="502"/>
      <c r="O1707" s="740"/>
      <c r="P1707" s="494"/>
      <c r="Q1707" s="494"/>
      <c r="R1707" s="494"/>
      <c r="S1707" s="58"/>
      <c r="T1707" s="58"/>
      <c r="U1707" s="498"/>
      <c r="V1707" s="58"/>
      <c r="W1707" s="58"/>
      <c r="X1707" s="498"/>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c r="A1708" s="813"/>
      <c r="B1708" s="495"/>
      <c r="C1708" s="495"/>
      <c r="D1708" s="180"/>
      <c r="E1708" s="496"/>
      <c r="F1708" s="495"/>
      <c r="G1708" s="487"/>
      <c r="H1708" s="487"/>
      <c r="I1708" s="487"/>
      <c r="J1708" s="487"/>
      <c r="K1708" s="495"/>
      <c r="L1708" s="487"/>
      <c r="M1708" s="487"/>
      <c r="N1708" s="487"/>
      <c r="O1708" s="740"/>
      <c r="P1708" s="494"/>
      <c r="Q1708" s="494"/>
      <c r="R1708" s="494"/>
      <c r="S1708" s="23"/>
      <c r="T1708" s="27" t="str">
        <f>IF(ISBLANK(E1709),"",MATCH(E1709,CNTR_SourceStreamNames,0))</f>
        <v/>
      </c>
      <c r="U1708" s="618"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1"/>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3" t="s">
        <v>262</v>
      </c>
    </row>
    <row r="1709" spans="1:78" s="142" customFormat="1" ht="15" hidden="1" customHeight="1" thickBot="1">
      <c r="A1709" s="869" t="str">
        <f>IF(E1709="","","PRINT")</f>
        <v/>
      </c>
      <c r="B1709" s="166"/>
      <c r="C1709" s="617">
        <f>C1682+1</f>
        <v>62</v>
      </c>
      <c r="D1709" s="166"/>
      <c r="E1709" s="1542"/>
      <c r="F1709" s="1543"/>
      <c r="G1709" s="1543"/>
      <c r="H1709" s="1543"/>
      <c r="I1709" s="1543"/>
      <c r="J1709" s="1544"/>
      <c r="K1709" s="1545" t="str">
        <f>IF(E1710="","",INDEX(EUwideConstants!$F$353:$F$394,MATCH(E1710,EUConst_TierActivityListNames,0)))</f>
        <v/>
      </c>
      <c r="L1709" s="1546"/>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3"/>
      <c r="T1709" s="509" t="s">
        <v>393</v>
      </c>
      <c r="U1709" s="23"/>
      <c r="V1709" s="78"/>
      <c r="W1709" s="56"/>
      <c r="X1709" s="58"/>
      <c r="Y1709" s="58"/>
      <c r="Z1709" s="58"/>
      <c r="AA1709" s="58"/>
      <c r="AB1709" s="58"/>
      <c r="AC1709" s="58"/>
      <c r="AD1709" s="58"/>
      <c r="AE1709" s="58"/>
      <c r="AF1709" s="58"/>
      <c r="AG1709" s="58"/>
      <c r="AH1709" s="58"/>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6"/>
      <c r="BZ1709" s="619" t="b">
        <f>CNTR_CalcRelevant=EUconst_NotRelevant</f>
        <v>0</v>
      </c>
    </row>
    <row r="1710" spans="1:78" s="142" customFormat="1" ht="15" hidden="1" customHeight="1" thickBot="1">
      <c r="A1710" s="808"/>
      <c r="B1710" s="166"/>
      <c r="C1710" s="166"/>
      <c r="D1710" s="166"/>
      <c r="E1710" s="1547" t="str">
        <f>IF(ISBLANK(E1709),"",IF(INDEX(B_InstallationDescription!$E$71:$E$145,MATCH(U1708,B_InstallationDescription!$D$71:$D$145,0))&gt;0,INDEX(B_InstallationDescription!$E$71:$E$145,MATCH(U1708,B_InstallationDescription!$D$71:$D$145,0)),""))</f>
        <v/>
      </c>
      <c r="F1710" s="1548"/>
      <c r="G1710" s="1548"/>
      <c r="H1710" s="1548"/>
      <c r="I1710" s="1548"/>
      <c r="J1710" s="1549"/>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4"/>
      <c r="AH1710" s="30"/>
      <c r="AI1710" s="30"/>
      <c r="AJ1710" s="504"/>
      <c r="AK1710" s="504"/>
      <c r="AL1710" s="342"/>
      <c r="AM1710" s="27" t="s">
        <v>308</v>
      </c>
      <c r="AN1710" s="505"/>
      <c r="AO1710" s="505"/>
      <c r="AP1710" s="30"/>
      <c r="AQ1710" s="30"/>
      <c r="AR1710" s="30"/>
      <c r="AS1710" s="30"/>
      <c r="AT1710" s="30"/>
      <c r="AU1710" s="30"/>
      <c r="AV1710" s="27" t="s">
        <v>315</v>
      </c>
      <c r="AW1710" s="30"/>
      <c r="AX1710" s="492"/>
      <c r="AY1710" s="30"/>
      <c r="AZ1710" s="30"/>
      <c r="BA1710" s="30"/>
      <c r="BB1710" s="27" t="s">
        <v>219</v>
      </c>
      <c r="BC1710" s="30"/>
      <c r="BD1710" s="30"/>
      <c r="BE1710" s="30"/>
      <c r="BF1710" s="30"/>
      <c r="BG1710" s="27"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0"/>
      <c r="BZ1710" s="30"/>
    </row>
    <row r="1711" spans="1:78" s="142" customFormat="1" ht="5.0999999999999996" hidden="1" customHeight="1">
      <c r="A1711" s="808"/>
      <c r="B1711" s="166"/>
      <c r="C1711" s="166"/>
      <c r="D1711" s="166"/>
      <c r="E1711" s="166"/>
      <c r="F1711" s="166"/>
      <c r="G1711" s="166"/>
      <c r="M1711" s="143"/>
      <c r="N1711" s="143"/>
      <c r="O1711" s="733"/>
      <c r="P1711" s="33"/>
      <c r="Q1711" s="33"/>
      <c r="R1711" s="33"/>
      <c r="S1711" s="23"/>
      <c r="T1711" s="23"/>
      <c r="U1711" s="23"/>
      <c r="V1711" s="78"/>
      <c r="W1711" s="30"/>
      <c r="X1711" s="30"/>
      <c r="Y1711" s="494"/>
      <c r="Z1711" s="30"/>
      <c r="AA1711" s="30"/>
      <c r="AB1711" s="30"/>
      <c r="AC1711" s="30"/>
      <c r="AD1711" s="30"/>
      <c r="AE1711" s="30"/>
      <c r="AF1711" s="58"/>
      <c r="AG1711" s="30"/>
      <c r="AH1711" s="30"/>
      <c r="AI1711" s="30"/>
      <c r="AJ1711" s="504"/>
      <c r="AK1711" s="504"/>
      <c r="AL1711" s="342"/>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hidden="1" customHeight="1" thickBot="1">
      <c r="A1712" s="808"/>
      <c r="B1712" s="166"/>
      <c r="C1712" s="166"/>
      <c r="D1712" s="166"/>
      <c r="E1712" s="1550" t="str">
        <f>IF(E1709="","",IF(T1710=TRUE,HYPERLINK("#JUMP_14",EUconst_MsgGoOnPFC),HYPERLINK("#JUMP_E_8",EUconst_FurtherGuidancePoint1)))</f>
        <v/>
      </c>
      <c r="F1712" s="1550"/>
      <c r="G1712" s="1550"/>
      <c r="H1712" s="1550"/>
      <c r="I1712" s="1550"/>
      <c r="J1712" s="1550"/>
      <c r="K1712" s="1550"/>
      <c r="L1712" s="1550"/>
      <c r="M1712" s="1550"/>
      <c r="N1712" s="143"/>
      <c r="O1712" s="733"/>
      <c r="P1712" s="33"/>
      <c r="Q1712" s="352" t="str">
        <f>EUconst_SumNonSustBioCO2 &amp; "_" &amp; K1709</f>
        <v>SUM_bioNonSustCO2_</v>
      </c>
      <c r="R1712" s="707"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4"/>
      <c r="AK1712" s="504"/>
      <c r="AL1712" s="342"/>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hidden="1" customHeight="1">
      <c r="A1713" s="808"/>
      <c r="B1713" s="166"/>
      <c r="C1713" s="166"/>
      <c r="D1713" s="166"/>
      <c r="E1713" s="166"/>
      <c r="F1713" s="166"/>
      <c r="G1713" s="166"/>
      <c r="M1713" s="143"/>
      <c r="N1713" s="143"/>
      <c r="O1713" s="733"/>
      <c r="P1713" s="23"/>
      <c r="Q1713" s="23"/>
      <c r="R1713" s="23"/>
      <c r="S1713" s="23"/>
      <c r="T1713" s="23"/>
      <c r="U1713" s="23"/>
      <c r="V1713" s="30"/>
      <c r="W1713" s="30"/>
      <c r="X1713" s="30"/>
      <c r="Y1713" s="494"/>
      <c r="Z1713" s="30"/>
      <c r="AA1713" s="30"/>
      <c r="AB1713" s="30"/>
      <c r="AC1713" s="30"/>
      <c r="AD1713" s="30"/>
      <c r="AE1713" s="30"/>
      <c r="AF1713" s="58"/>
      <c r="AG1713" s="30"/>
      <c r="AH1713" s="30"/>
      <c r="AI1713" s="30"/>
      <c r="AJ1713" s="504"/>
      <c r="AK1713" s="504"/>
      <c r="AL1713" s="342"/>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hidden="1" customHeight="1" thickBot="1">
      <c r="A1714" s="808"/>
      <c r="B1714" s="166"/>
      <c r="C1714" s="814" t="s">
        <v>4</v>
      </c>
      <c r="D1714" s="512" t="str">
        <f>Translations!$B$622</f>
        <v>VD:</v>
      </c>
      <c r="E1714" s="1560" t="str">
        <f>Translations!$B$667</f>
        <v>Ar veiklos duomenys gaunami sudedant išmatuotus kiekius (t. y. ne atliekant nuolatinius matavimus)?</v>
      </c>
      <c r="F1714" s="1560"/>
      <c r="G1714" s="1560"/>
      <c r="H1714" s="1560"/>
      <c r="I1714" s="1560"/>
      <c r="J1714" s="1560"/>
      <c r="K1714" s="1560"/>
      <c r="L1714" s="1179"/>
      <c r="M1714" s="507"/>
      <c r="O1714" s="733"/>
      <c r="P1714" s="23"/>
      <c r="Q1714" s="23"/>
      <c r="R1714" s="23"/>
      <c r="S1714" s="23"/>
      <c r="T1714" s="23"/>
      <c r="U1714" s="23"/>
      <c r="V1714" s="30"/>
      <c r="W1714" s="30"/>
      <c r="X1714" s="30"/>
      <c r="Y1714" s="494"/>
      <c r="Z1714" s="30"/>
      <c r="AA1714" s="30"/>
      <c r="AB1714" s="30"/>
      <c r="AC1714" s="1172" t="b">
        <f>AND(E1709&lt;&gt;"",T1710&lt;&gt;TRUE)</f>
        <v>0</v>
      </c>
      <c r="AD1714" s="30"/>
      <c r="AE1714" s="30"/>
      <c r="AF1714" s="58"/>
      <c r="AG1714" s="30"/>
      <c r="AH1714" s="30"/>
      <c r="AI1714" s="30"/>
      <c r="AJ1714" s="504"/>
      <c r="AK1714" s="504"/>
      <c r="AL1714" s="342"/>
      <c r="AM1714" s="30"/>
      <c r="AN1714" s="30"/>
      <c r="AO1714" s="30"/>
      <c r="AP1714" s="30"/>
      <c r="AQ1714" s="30"/>
      <c r="AR1714" s="30"/>
      <c r="AS1714" s="30"/>
      <c r="AT1714" s="1172"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2" t="b">
        <f>OR(CNTR_CalcRelevant=EUconst_NotRelevant,AND(COUNTA(CNTR_ListRelevantSections)&gt;0,OR(T1710=TRUE,E1709="")))</f>
        <v>1</v>
      </c>
    </row>
    <row r="1715" spans="1:78" s="142" customFormat="1" ht="5.0999999999999996" hidden="1" customHeight="1">
      <c r="A1715" s="808"/>
      <c r="B1715" s="166"/>
      <c r="C1715" s="166"/>
      <c r="D1715" s="166"/>
      <c r="E1715" s="166"/>
      <c r="F1715" s="166"/>
      <c r="G1715" s="166"/>
      <c r="H1715" s="495"/>
      <c r="I1715" s="495"/>
      <c r="J1715" s="495"/>
      <c r="K1715" s="495"/>
      <c r="L1715" s="495"/>
      <c r="M1715" s="507"/>
      <c r="O1715" s="733"/>
      <c r="P1715" s="23"/>
      <c r="Q1715" s="23"/>
      <c r="R1715" s="23"/>
      <c r="S1715" s="23"/>
      <c r="T1715" s="23"/>
      <c r="U1715" s="23"/>
      <c r="V1715" s="30"/>
      <c r="W1715" s="30"/>
      <c r="X1715" s="30"/>
      <c r="Y1715" s="494"/>
      <c r="Z1715" s="30"/>
      <c r="AA1715" s="30"/>
      <c r="AB1715" s="30"/>
      <c r="AC1715" s="492"/>
      <c r="AD1715" s="30"/>
      <c r="AE1715" s="30"/>
      <c r="AF1715" s="58"/>
      <c r="AG1715" s="30"/>
      <c r="AH1715" s="30"/>
      <c r="AI1715" s="30"/>
      <c r="AJ1715" s="504"/>
      <c r="AK1715" s="504"/>
      <c r="AL1715" s="342"/>
      <c r="AM1715" s="30"/>
      <c r="AN1715" s="30"/>
      <c r="AO1715" s="30"/>
      <c r="AP1715" s="30"/>
      <c r="AQ1715" s="30"/>
      <c r="AR1715" s="30"/>
      <c r="AS1715" s="30"/>
      <c r="AT1715" s="492"/>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2"/>
    </row>
    <row r="1716" spans="1:78" s="142" customFormat="1" ht="12.75" hidden="1" customHeight="1" thickBot="1">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3"/>
      <c r="Q1716" s="23"/>
      <c r="R1716" s="23"/>
      <c r="S1716" s="23"/>
      <c r="T1716" s="23"/>
      <c r="U1716" s="23"/>
      <c r="V1716" s="30"/>
      <c r="W1716" s="30"/>
      <c r="X1716" s="30"/>
      <c r="Y1716" s="494"/>
      <c r="Z1716" s="30"/>
      <c r="AA1716" s="30"/>
      <c r="AB1716" s="30"/>
      <c r="AC1716" s="1172" t="b">
        <f>AC1714</f>
        <v>0</v>
      </c>
      <c r="AD1716" s="30"/>
      <c r="AE1716" s="30"/>
      <c r="AF1716" s="58"/>
      <c r="AG1716" s="30"/>
      <c r="AH1716" s="30"/>
      <c r="AI1716" s="30"/>
      <c r="AJ1716" s="504"/>
      <c r="AK1716" s="504"/>
      <c r="AL1716" s="342"/>
      <c r="AM1716" s="30"/>
      <c r="AN1716" s="30"/>
      <c r="AO1716" s="30"/>
      <c r="AP1716" s="30"/>
      <c r="AQ1716" s="30"/>
      <c r="AR1716" s="30"/>
      <c r="AS1716" s="30"/>
      <c r="AT1716" s="1172"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2" t="b">
        <f>OR(BZ1714,AND(NOT(ISBLANK(L1714)),L1714=FALSE))</f>
        <v>1</v>
      </c>
    </row>
    <row r="1717" spans="1:78" s="142" customFormat="1" ht="5.0999999999999996" hidden="1" customHeight="1">
      <c r="A1717" s="808"/>
      <c r="B1717" s="166"/>
      <c r="C1717" s="166"/>
      <c r="D1717" s="166"/>
      <c r="E1717" s="166"/>
      <c r="F1717" s="166"/>
      <c r="G1717" s="166"/>
      <c r="M1717" s="143"/>
      <c r="N1717" s="143"/>
      <c r="O1717" s="733"/>
      <c r="P1717" s="23"/>
      <c r="Q1717" s="23"/>
      <c r="R1717" s="23"/>
      <c r="S1717" s="23"/>
      <c r="T1717" s="23"/>
      <c r="U1717" s="23"/>
      <c r="V1717" s="30"/>
      <c r="W1717" s="30"/>
      <c r="X1717" s="30"/>
      <c r="Y1717" s="494"/>
      <c r="Z1717" s="30"/>
      <c r="AA1717" s="30"/>
      <c r="AB1717" s="30"/>
      <c r="AC1717" s="30"/>
      <c r="AD1717" s="30"/>
      <c r="AE1717" s="30"/>
      <c r="AF1717" s="58"/>
      <c r="AG1717" s="30"/>
      <c r="AH1717" s="30"/>
      <c r="AI1717" s="30"/>
      <c r="AJ1717" s="504"/>
      <c r="AK1717" s="504"/>
      <c r="AL1717" s="342"/>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hidden="1" customHeight="1" thickBot="1">
      <c r="A1718" s="808"/>
      <c r="B1718" s="166"/>
      <c r="C1718" s="166"/>
      <c r="D1718" s="166"/>
      <c r="E1718" s="166"/>
      <c r="F1718" s="506" t="str">
        <f>Translations!$B$333</f>
        <v>Pakopa</v>
      </c>
      <c r="G1718" s="1557" t="str">
        <f>Translations!$B$672</f>
        <v>pakopos aprašas</v>
      </c>
      <c r="H1718" s="1557"/>
      <c r="I1718" s="1555" t="str">
        <f>Translations!$B$158</f>
        <v>Vienetas</v>
      </c>
      <c r="J1718" s="1555"/>
      <c r="K1718" s="1555" t="str">
        <f>Translations!$B$673</f>
        <v>Vertė</v>
      </c>
      <c r="L1718" s="1555"/>
      <c r="M1718" s="507" t="str">
        <f>Translations!$B$610</f>
        <v>klaida</v>
      </c>
      <c r="O1718" s="733"/>
      <c r="P1718" s="508"/>
      <c r="Q1718" s="352" t="str">
        <f>EUconst_SumEnergyIN &amp; "_" &amp; K1709</f>
        <v>SUM_EnergyIN_</v>
      </c>
      <c r="R1718" s="399" t="str">
        <f>IF(OR(K1709="",T1710)=TRUE,"",INDEX(BC1724:BE1724,MATCH(K1709,BC1719:BE1719,0)))</f>
        <v/>
      </c>
      <c r="S1718" s="30"/>
      <c r="T1718" s="489"/>
      <c r="U1718" s="30"/>
      <c r="V1718" s="509" t="s">
        <v>303</v>
      </c>
      <c r="W1718" s="30"/>
      <c r="X1718" s="30"/>
      <c r="Y1718" s="494" t="s">
        <v>566</v>
      </c>
      <c r="Z1718" s="494" t="s">
        <v>318</v>
      </c>
      <c r="AA1718" s="30"/>
      <c r="AB1718" s="30"/>
      <c r="AC1718" s="505" t="s">
        <v>309</v>
      </c>
      <c r="AD1718" s="30"/>
      <c r="AE1718" s="30"/>
      <c r="AF1718" s="492" t="s">
        <v>305</v>
      </c>
      <c r="AG1718" s="492" t="s">
        <v>306</v>
      </c>
      <c r="AH1718" s="494" t="s">
        <v>304</v>
      </c>
      <c r="AI1718" s="504" t="s">
        <v>307</v>
      </c>
      <c r="AJ1718" s="504" t="s">
        <v>567</v>
      </c>
      <c r="AK1718" s="510" t="s">
        <v>311</v>
      </c>
      <c r="AL1718" s="342"/>
      <c r="AM1718" s="30"/>
      <c r="AN1718" s="492" t="s">
        <v>305</v>
      </c>
      <c r="AO1718" s="492" t="s">
        <v>306</v>
      </c>
      <c r="AP1718" s="511" t="s">
        <v>310</v>
      </c>
      <c r="AQ1718" s="504" t="s">
        <v>569</v>
      </c>
      <c r="AR1718" s="504" t="s">
        <v>568</v>
      </c>
      <c r="AS1718" s="510" t="s">
        <v>609</v>
      </c>
      <c r="AT1718" s="510" t="s">
        <v>609</v>
      </c>
      <c r="AU1718" s="30"/>
      <c r="AV1718" s="492"/>
      <c r="AW1718" s="492"/>
      <c r="AX1718" s="492" t="s">
        <v>321</v>
      </c>
      <c r="AY1718" s="492"/>
      <c r="AZ1718" s="492"/>
      <c r="BA1718" s="492"/>
      <c r="BB1718" s="492"/>
      <c r="BC1718" s="492"/>
      <c r="BD1718" s="492"/>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3" t="s">
        <v>262</v>
      </c>
    </row>
    <row r="1719" spans="1:78" s="142" customFormat="1" ht="12.75" hidden="1" customHeight="1" thickBot="1">
      <c r="A1719" s="808"/>
      <c r="B1719" s="166"/>
      <c r="C1719" s="777" t="s">
        <v>196</v>
      </c>
      <c r="D1719" s="512" t="str">
        <f>Translations!$B$622</f>
        <v>VD:</v>
      </c>
      <c r="E1719" s="513"/>
      <c r="F1719" s="402"/>
      <c r="G1719" s="1532" t="str">
        <f>IF(OR(ISBLANK(F1719),F1719=EUconst_NoTier),"",IF(Z1719=0,EUconst_NA,IF(ISERROR(Z1719),"",Z1719)))</f>
        <v/>
      </c>
      <c r="H1719" s="1533"/>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0"/>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0"/>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0"/>
      <c r="AV1719" s="492" t="s">
        <v>314</v>
      </c>
      <c r="AW1719" s="492" t="s">
        <v>319</v>
      </c>
      <c r="AX1719" s="524"/>
      <c r="AY1719" s="30" t="s">
        <v>542</v>
      </c>
      <c r="AZ1719" s="30"/>
      <c r="BA1719" s="30"/>
      <c r="BB1719" s="504"/>
      <c r="BC1719" s="493" t="str">
        <f>EUconst_Fuel</f>
        <v>Degimas</v>
      </c>
      <c r="BD1719" s="493" t="str">
        <f>EUconst_ProcessCarbonate</f>
        <v>Proceso metu išsiskiriančios ŠESD</v>
      </c>
      <c r="BE1719" s="493"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4" t="b">
        <f>BZ1714</f>
        <v>1</v>
      </c>
    </row>
    <row r="1720" spans="1:78" s="142" customFormat="1" ht="5.0999999999999996" hidden="1" customHeight="1">
      <c r="A1720" s="808"/>
      <c r="B1720" s="166"/>
      <c r="C1720" s="814"/>
      <c r="D1720" s="306"/>
      <c r="F1720" s="143"/>
      <c r="G1720" s="143"/>
      <c r="H1720" s="143" t="s">
        <v>236</v>
      </c>
      <c r="I1720" s="525"/>
      <c r="J1720" s="525"/>
      <c r="K1720" s="143"/>
      <c r="L1720" s="143"/>
      <c r="M1720" s="710"/>
      <c r="O1720" s="733"/>
      <c r="P1720" s="33"/>
      <c r="Q1720" s="33"/>
      <c r="R1720" s="33"/>
      <c r="S1720" s="30"/>
      <c r="T1720" s="155"/>
      <c r="U1720" s="497"/>
      <c r="V1720" s="30"/>
      <c r="W1720" s="30"/>
      <c r="X1720" s="497"/>
      <c r="Y1720" s="526"/>
      <c r="Z1720" s="30"/>
      <c r="AA1720" s="30"/>
      <c r="AB1720" s="30"/>
      <c r="AC1720" s="30"/>
      <c r="AD1720" s="30"/>
      <c r="AE1720" s="30"/>
      <c r="AF1720" s="30"/>
      <c r="AG1720" s="30"/>
      <c r="AH1720" s="30"/>
      <c r="AI1720" s="30"/>
      <c r="AJ1720" s="30"/>
      <c r="AK1720" s="30"/>
      <c r="AL1720" s="342"/>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3"/>
    </row>
    <row r="1721" spans="1:78" s="142" customFormat="1" ht="12.75" hidden="1" customHeight="1" thickBot="1">
      <c r="A1721" s="808"/>
      <c r="B1721" s="166"/>
      <c r="C1721" s="814" t="s">
        <v>197</v>
      </c>
      <c r="D1721" s="512" t="str">
        <f>Translations!$B$634</f>
        <v>(prelim.) ITF:</v>
      </c>
      <c r="E1721" s="513"/>
      <c r="F1721" s="527"/>
      <c r="G1721" s="1532" t="str">
        <f t="shared" ref="G1721:G1727" si="427">IF(OR(ISBLANK(F1721),F1721=EUconst_NoTier),"",IF(Z1721=0,EUconst_NotApplicable,IF(ISERROR(Z1721),"",Z1721)))</f>
        <v/>
      </c>
      <c r="H1721" s="1556"/>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3"/>
      <c r="Q1721" s="33"/>
      <c r="R1721" s="33"/>
      <c r="S1721" s="30"/>
      <c r="T1721" s="530" t="str">
        <f>EUconst_CNTR_EF&amp;E1710</f>
        <v>EF_</v>
      </c>
      <c r="U1721" s="497"/>
      <c r="V1721" s="531" t="str">
        <f>V1719</f>
        <v/>
      </c>
      <c r="W1721" s="30"/>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0"/>
      <c r="AC1721" s="535" t="b">
        <f>AND(AC1719,Y1721&lt;&gt;EUconst_NA)</f>
        <v>0</v>
      </c>
      <c r="AD1721" s="30"/>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0"/>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0"/>
      <c r="BA1721" s="30"/>
      <c r="BB1721" s="547" t="s">
        <v>594</v>
      </c>
      <c r="BC1721" s="546" t="str">
        <f>IF(K1709=BC1719,AR1719*IF(AJ1721=EUconst_tCO2pTJ,(AR1722/1000),1)*AR1721*AR1723*AR1727,"")</f>
        <v/>
      </c>
      <c r="BD1721" s="524" t="str">
        <f>IF(K1709=BD1719,AR1719*AR1721*AR1724*AR1727,"")</f>
        <v/>
      </c>
      <c r="BE1721" s="523"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1" t="b">
        <f>OR(BZ1719,Y1721=EUconst_NA)</f>
        <v>1</v>
      </c>
    </row>
    <row r="1722" spans="1:78" s="142" customFormat="1" ht="12.75" hidden="1" customHeight="1" thickBot="1">
      <c r="A1722" s="808"/>
      <c r="B1722" s="166"/>
      <c r="C1722" s="814" t="s">
        <v>198</v>
      </c>
      <c r="D1722" s="512" t="str">
        <f>Translations!$B$636</f>
        <v>GŠV:</v>
      </c>
      <c r="E1722" s="513"/>
      <c r="F1722" s="548"/>
      <c r="G1722" s="1532" t="str">
        <f t="shared" si="427"/>
        <v/>
      </c>
      <c r="H1722" s="1533"/>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3"/>
      <c r="Q1722" s="33"/>
      <c r="R1722" s="33"/>
      <c r="S1722" s="30"/>
      <c r="T1722" s="552" t="str">
        <f>EUconst_CNTR_NCV&amp;E1710</f>
        <v>NCV_</v>
      </c>
      <c r="U1722" s="497"/>
      <c r="V1722" s="553" t="str">
        <f t="shared" ref="V1722:V1727" si="433">V1721</f>
        <v/>
      </c>
      <c r="W1722" s="30"/>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0"/>
      <c r="AC1722" s="557" t="b">
        <f>AND(AC1719,Y1722&lt;&gt;EUconst_NA)</f>
        <v>0</v>
      </c>
      <c r="AD1722" s="30"/>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0"/>
      <c r="AV1722" s="567" t="b">
        <f t="shared" si="430"/>
        <v>0</v>
      </c>
      <c r="AW1722" s="568" t="b">
        <f t="shared" si="431"/>
        <v>0</v>
      </c>
      <c r="AX1722" s="30"/>
      <c r="AY1722" s="553" t="b">
        <f t="shared" si="432"/>
        <v>0</v>
      </c>
      <c r="AZ1722" s="30"/>
      <c r="BA1722" s="30"/>
      <c r="BB1722" s="547" t="s">
        <v>595</v>
      </c>
      <c r="BC1722" s="546" t="str">
        <f>IF(K1709=BC1719,AR1719*IF(AJ1721=EUconst_tCO2pTJ,(AR1722/1000),1)*AR1721*AR1723*AR1726,"")</f>
        <v/>
      </c>
      <c r="BD1722" s="524" t="str">
        <f>IF(K1709=BD1719,AR1719*AR1721*AR1724*AR1726,"")</f>
        <v/>
      </c>
      <c r="BE1722" s="523"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3" t="b">
        <f>OR(BZ1719,Y1722=EUconst_NA)</f>
        <v>1</v>
      </c>
    </row>
    <row r="1723" spans="1:78" s="142" customFormat="1" ht="12.75" hidden="1" customHeight="1" thickBot="1">
      <c r="A1723" s="808"/>
      <c r="B1723" s="166"/>
      <c r="C1723" s="814" t="s">
        <v>199</v>
      </c>
      <c r="D1723" s="512" t="str">
        <f>Translations!$B$638</f>
        <v>OksK:</v>
      </c>
      <c r="E1723" s="513"/>
      <c r="F1723" s="548"/>
      <c r="G1723" s="1532" t="str">
        <f t="shared" si="427"/>
        <v/>
      </c>
      <c r="H1723" s="1533"/>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3"/>
      <c r="Q1723" s="33"/>
      <c r="R1723" s="33"/>
      <c r="S1723" s="30"/>
      <c r="T1723" s="552" t="str">
        <f>EUconst_CNTR_OxidationFactor&amp;E1710</f>
        <v>OxF_</v>
      </c>
      <c r="U1723" s="497"/>
      <c r="V1723" s="553" t="str">
        <f t="shared" si="433"/>
        <v/>
      </c>
      <c r="W1723" s="30"/>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0"/>
      <c r="AC1723" s="557" t="b">
        <f>AND(AC1719,Y1723&lt;&gt;EUconst_NA)</f>
        <v>0</v>
      </c>
      <c r="AD1723" s="30"/>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0"/>
      <c r="AV1723" s="567" t="b">
        <f t="shared" si="430"/>
        <v>0</v>
      </c>
      <c r="AW1723" s="568" t="b">
        <f t="shared" si="431"/>
        <v>0</v>
      </c>
      <c r="AX1723" s="30"/>
      <c r="AY1723" s="594" t="b">
        <f t="shared" si="432"/>
        <v>0</v>
      </c>
      <c r="AZ1723" s="531" t="b">
        <f>AR1723&gt;100%</f>
        <v>0</v>
      </c>
      <c r="BA1723" s="30"/>
      <c r="BB1723" s="547" t="s">
        <v>290</v>
      </c>
      <c r="BC1723" s="546" t="str">
        <f>IF(K1709=BC1719,AR1719*IF(AJ1721=EUconst_tCO2pTJ,(AR1722/1000),1)*AR1721*AR1723*(1-AR1726),"")</f>
        <v/>
      </c>
      <c r="BD1723" s="524" t="str">
        <f>IF(K1709=BD1719,AR1719*AR1721*AR1724*(1-AR1726),"")</f>
        <v/>
      </c>
      <c r="BE1723" s="523"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3" t="b">
        <f>OR(BZ1719,Y1723=EUconst_NA)</f>
        <v>1</v>
      </c>
    </row>
    <row r="1724" spans="1:78" s="142" customFormat="1" ht="12.75" hidden="1" customHeight="1" thickBot="1">
      <c r="A1724" s="808"/>
      <c r="B1724" s="166"/>
      <c r="C1724" s="814" t="s">
        <v>200</v>
      </c>
      <c r="D1724" s="512" t="str">
        <f>Translations!$B$639</f>
        <v>KonvK:</v>
      </c>
      <c r="E1724" s="513"/>
      <c r="F1724" s="548"/>
      <c r="G1724" s="1532" t="str">
        <f t="shared" si="427"/>
        <v/>
      </c>
      <c r="H1724" s="1533"/>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3"/>
      <c r="Q1724" s="33"/>
      <c r="R1724" s="33"/>
      <c r="S1724" s="30"/>
      <c r="T1724" s="552" t="str">
        <f>EUconst_CNTR_ConversionFactor&amp;E1710</f>
        <v>ConvF_</v>
      </c>
      <c r="U1724" s="497"/>
      <c r="V1724" s="553" t="str">
        <f t="shared" si="433"/>
        <v/>
      </c>
      <c r="W1724" s="30"/>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0"/>
      <c r="AC1724" s="557" t="b">
        <f>AND(AC1719,Y1724&lt;&gt;EUconst_NA)</f>
        <v>0</v>
      </c>
      <c r="AD1724" s="30"/>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0"/>
      <c r="AV1724" s="567" t="b">
        <f t="shared" si="430"/>
        <v>0</v>
      </c>
      <c r="AW1724" s="568" t="b">
        <f t="shared" si="431"/>
        <v>0</v>
      </c>
      <c r="AX1724" s="30"/>
      <c r="AY1724" s="594" t="b">
        <f t="shared" si="432"/>
        <v>0</v>
      </c>
      <c r="AZ1724" s="580" t="b">
        <f>AR1724&gt;100%</f>
        <v>0</v>
      </c>
      <c r="BA1724" s="30"/>
      <c r="BB1724" s="578" t="s">
        <v>487</v>
      </c>
      <c r="BC1724" s="579">
        <f>AR1719*AR1722/1000*(1-AR1726)</f>
        <v>0</v>
      </c>
      <c r="BD1724" s="580">
        <f>BC1724</f>
        <v>0</v>
      </c>
      <c r="BE1724" s="581">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3" t="b">
        <f>OR(BZ1719,Y1724=EUconst_NA)</f>
        <v>1</v>
      </c>
    </row>
    <row r="1725" spans="1:78" s="142" customFormat="1" ht="12.75" hidden="1" customHeight="1" thickBot="1">
      <c r="A1725" s="808"/>
      <c r="B1725" s="166"/>
      <c r="C1725" s="814" t="s">
        <v>329</v>
      </c>
      <c r="D1725" s="512" t="str">
        <f>Translations!$B$640</f>
        <v>AnglK:</v>
      </c>
      <c r="E1725" s="513"/>
      <c r="F1725" s="548"/>
      <c r="G1725" s="1532" t="str">
        <f t="shared" si="427"/>
        <v/>
      </c>
      <c r="H1725" s="1533"/>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3"/>
      <c r="Q1725" s="33"/>
      <c r="R1725" s="33"/>
      <c r="S1725" s="30"/>
      <c r="T1725" s="552" t="str">
        <f>EUconst_CNTR_CarbonContent&amp;E1710</f>
        <v>CarbC_</v>
      </c>
      <c r="U1725" s="497"/>
      <c r="V1725" s="553" t="str">
        <f t="shared" si="433"/>
        <v/>
      </c>
      <c r="W1725" s="30"/>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0"/>
      <c r="AC1725" s="557" t="b">
        <f>AND(AC1719,Y1725&lt;&gt;EUconst_NA)</f>
        <v>0</v>
      </c>
      <c r="AD1725" s="30"/>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0"/>
      <c r="AV1725" s="567" t="b">
        <f t="shared" si="430"/>
        <v>0</v>
      </c>
      <c r="AW1725" s="568" t="b">
        <f t="shared" si="431"/>
        <v>0</v>
      </c>
      <c r="AX1725" s="546" t="b">
        <f>OR(AND(AJ1719=EUconst_kNm3,AJ1725=EUconst_tCpt),AND(AJ1719=EUconst_t,AJ1725=EUconst_tCpkNm3))</f>
        <v>0</v>
      </c>
      <c r="AY1725" s="553" t="b">
        <f t="shared" si="432"/>
        <v>0</v>
      </c>
      <c r="AZ1725" s="30"/>
      <c r="BA1725" s="30"/>
      <c r="BB1725" s="578" t="s">
        <v>488</v>
      </c>
      <c r="BC1725" s="579">
        <f>AR1719*AR1722/1000*AR1726</f>
        <v>0</v>
      </c>
      <c r="BD1725" s="580">
        <f>BC1725</f>
        <v>0</v>
      </c>
      <c r="BE1725" s="581">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3" t="b">
        <f>OR(BZ1719,Y1725=EUconst_NA)</f>
        <v>1</v>
      </c>
    </row>
    <row r="1726" spans="1:78" s="142" customFormat="1" ht="12.75" hidden="1" customHeight="1">
      <c r="A1726" s="808"/>
      <c r="B1726" s="166"/>
      <c r="C1726" s="777" t="s">
        <v>330</v>
      </c>
      <c r="D1726" s="512" t="str">
        <f>Translations!$B$641</f>
        <v>BioC:</v>
      </c>
      <c r="E1726" s="513"/>
      <c r="F1726" s="548"/>
      <c r="G1726" s="1532" t="str">
        <f t="shared" si="427"/>
        <v/>
      </c>
      <c r="H1726" s="1533"/>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0"/>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0"/>
      <c r="AC1726" s="557" t="b">
        <f>AND(AC1719,Y1726&lt;&gt;EUconst_NA)</f>
        <v>0</v>
      </c>
      <c r="AD1726" s="30"/>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0"/>
      <c r="AV1726" s="567" t="b">
        <f t="shared" si="430"/>
        <v>0</v>
      </c>
      <c r="AW1726" s="568" t="b">
        <f t="shared" si="431"/>
        <v>0</v>
      </c>
      <c r="AX1726" s="30"/>
      <c r="AY1726" s="594" t="b">
        <f t="shared" si="432"/>
        <v>0</v>
      </c>
      <c r="AZ1726" s="531"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3" t="b">
        <f>OR(BZ1719,Y1726=EUconst_NA)</f>
        <v>1</v>
      </c>
    </row>
    <row r="1727" spans="1:78" s="142" customFormat="1" ht="12.75" hidden="1" customHeight="1" thickBot="1">
      <c r="A1727" s="808"/>
      <c r="B1727" s="166"/>
      <c r="C1727" s="777" t="s">
        <v>454</v>
      </c>
      <c r="D1727" s="512" t="str">
        <f>Translations!$B$647</f>
        <v>Netvar. BioC:</v>
      </c>
      <c r="E1727" s="513"/>
      <c r="F1727" s="597"/>
      <c r="G1727" s="1532" t="str">
        <f t="shared" si="427"/>
        <v/>
      </c>
      <c r="H1727" s="1533"/>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0"/>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0"/>
      <c r="AC1727" s="603" t="b">
        <f>AND(AC1719,Y1727&lt;&gt;EUconst_NA)</f>
        <v>0</v>
      </c>
      <c r="AD1727" s="30"/>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0"/>
      <c r="AV1727" s="613" t="b">
        <f t="shared" si="430"/>
        <v>0</v>
      </c>
      <c r="AW1727" s="614" t="b">
        <f t="shared" si="431"/>
        <v>0</v>
      </c>
      <c r="AX1727" s="30"/>
      <c r="AY1727" s="579" t="b">
        <f t="shared" si="432"/>
        <v>0</v>
      </c>
      <c r="AZ1727" s="580"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80" t="b">
        <f>OR(BZ1719,Y1727=EUconst_NA)</f>
        <v>1</v>
      </c>
    </row>
    <row r="1728" spans="1:78" s="142" customFormat="1" ht="4.5" hidden="1" customHeight="1">
      <c r="A1728" s="808"/>
      <c r="B1728" s="166"/>
      <c r="C1728" s="166"/>
      <c r="D1728" s="180"/>
      <c r="O1728" s="733"/>
      <c r="P1728" s="33"/>
      <c r="Q1728" s="33"/>
      <c r="R1728" s="33"/>
      <c r="S1728" s="174"/>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hidden="1" customHeight="1">
      <c r="A1729" s="808"/>
      <c r="B1729" s="166"/>
      <c r="C1729" s="166"/>
      <c r="D1729" s="1558" t="str">
        <f>Translations!$B$674</f>
        <v>Pakopos galioja nuo:</v>
      </c>
      <c r="E1729" s="1558"/>
      <c r="F1729" s="1559"/>
      <c r="G1729" s="1052"/>
      <c r="H1729" s="615" t="str">
        <f>Translations!$B$675</f>
        <v>iki:</v>
      </c>
      <c r="I1729" s="1052"/>
      <c r="J1729" s="1536" t="str">
        <f>Translations!$B$676</f>
        <v>Atliekų katalogo numeris (jeigu taikytina):</v>
      </c>
      <c r="K1729" s="1537"/>
      <c r="L1729" s="1537"/>
      <c r="M1729" s="1538"/>
      <c r="N1729" s="1289"/>
      <c r="O1729" s="733"/>
      <c r="P1729" s="33"/>
      <c r="Q1729" s="33"/>
      <c r="R1729" s="33"/>
      <c r="S1729" s="1290"/>
      <c r="T1729" s="492"/>
      <c r="U1729" s="492"/>
      <c r="V1729" s="48" t="b">
        <f>IF(V1719="",FALSE,INDEX(CNTR_IsWaste,MATCH(V1719,MSParameters!$A$218:$A$376,0)))</f>
        <v>0</v>
      </c>
      <c r="W1729" s="1290"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hidden="1" customHeight="1">
      <c r="A1730" s="808"/>
      <c r="B1730" s="166"/>
      <c r="C1730" s="166"/>
      <c r="D1730" s="615"/>
      <c r="E1730" s="495"/>
      <c r="F1730" s="495"/>
      <c r="G1730" s="495"/>
      <c r="H1730" s="495"/>
      <c r="I1730" s="495"/>
      <c r="J1730" s="495"/>
      <c r="K1730" s="495"/>
      <c r="L1730" s="495"/>
      <c r="M1730" s="495"/>
      <c r="N1730" s="495"/>
      <c r="O1730" s="733"/>
      <c r="P1730" s="33"/>
      <c r="Q1730" s="33"/>
      <c r="R1730" s="33"/>
      <c r="S1730" s="174"/>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hidden="1" customHeight="1">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3"/>
      <c r="Q1731" s="33"/>
      <c r="R1731" s="33"/>
      <c r="S1731" s="174"/>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4.5" hidden="1" customHeight="1">
      <c r="A1732" s="815"/>
      <c r="D1732" s="180"/>
      <c r="O1732" s="573"/>
      <c r="P1732" s="497"/>
      <c r="Q1732" s="497"/>
      <c r="R1732" s="497"/>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hidden="1">
      <c r="A1733" s="815"/>
      <c r="D1733" s="1534" t="str">
        <f>Translations!$B$160</f>
        <v>Pastabos:</v>
      </c>
      <c r="E1733" s="1535"/>
      <c r="F1733" s="1539"/>
      <c r="G1733" s="1540"/>
      <c r="H1733" s="1540"/>
      <c r="I1733" s="1540"/>
      <c r="J1733" s="1540"/>
      <c r="K1733" s="1540"/>
      <c r="L1733" s="1540"/>
      <c r="M1733" s="1540"/>
      <c r="N1733" s="1541"/>
      <c r="O1733" s="573"/>
      <c r="P1733" s="497"/>
      <c r="Q1733" s="497"/>
      <c r="R1733" s="497"/>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c r="A1734" s="808"/>
      <c r="B1734" s="495"/>
      <c r="C1734" s="499"/>
      <c r="D1734" s="500"/>
      <c r="E1734" s="501"/>
      <c r="F1734" s="499"/>
      <c r="G1734" s="502"/>
      <c r="H1734" s="502"/>
      <c r="I1734" s="502"/>
      <c r="J1734" s="502"/>
      <c r="K1734" s="502"/>
      <c r="L1734" s="502"/>
      <c r="M1734" s="502"/>
      <c r="N1734" s="502"/>
      <c r="O1734" s="740"/>
      <c r="P1734" s="494"/>
      <c r="Q1734" s="494"/>
      <c r="R1734" s="494"/>
      <c r="S1734" s="58"/>
      <c r="T1734" s="58"/>
      <c r="U1734" s="498"/>
      <c r="V1734" s="58"/>
      <c r="W1734" s="58"/>
      <c r="X1734" s="498"/>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c r="A1735" s="813"/>
      <c r="B1735" s="495"/>
      <c r="C1735" s="495"/>
      <c r="D1735" s="180"/>
      <c r="E1735" s="496"/>
      <c r="F1735" s="495"/>
      <c r="G1735" s="487"/>
      <c r="H1735" s="487"/>
      <c r="I1735" s="487"/>
      <c r="J1735" s="487"/>
      <c r="K1735" s="495"/>
      <c r="L1735" s="487"/>
      <c r="M1735" s="487"/>
      <c r="N1735" s="487"/>
      <c r="O1735" s="740"/>
      <c r="P1735" s="494"/>
      <c r="Q1735" s="494"/>
      <c r="R1735" s="494"/>
      <c r="S1735" s="23"/>
      <c r="T1735" s="27" t="str">
        <f>IF(ISBLANK(E1736),"",MATCH(E1736,CNTR_SourceStreamNames,0))</f>
        <v/>
      </c>
      <c r="U1735" s="618"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1"/>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3" t="s">
        <v>262</v>
      </c>
    </row>
    <row r="1736" spans="1:78" s="142" customFormat="1" ht="15" hidden="1" customHeight="1" thickBot="1">
      <c r="A1736" s="869" t="str">
        <f>IF(E1736="","","PRINT")</f>
        <v/>
      </c>
      <c r="B1736" s="166"/>
      <c r="C1736" s="617">
        <f>C1709+1</f>
        <v>63</v>
      </c>
      <c r="D1736" s="166"/>
      <c r="E1736" s="1542"/>
      <c r="F1736" s="1543"/>
      <c r="G1736" s="1543"/>
      <c r="H1736" s="1543"/>
      <c r="I1736" s="1543"/>
      <c r="J1736" s="1544"/>
      <c r="K1736" s="1545" t="str">
        <f>IF(E1737="","",INDEX(EUwideConstants!$F$353:$F$394,MATCH(E1737,EUConst_TierActivityListNames,0)))</f>
        <v/>
      </c>
      <c r="L1736" s="1546"/>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3"/>
      <c r="T1736" s="509" t="s">
        <v>393</v>
      </c>
      <c r="U1736" s="23"/>
      <c r="V1736" s="78"/>
      <c r="W1736" s="56"/>
      <c r="X1736" s="58"/>
      <c r="Y1736" s="58"/>
      <c r="Z1736" s="58"/>
      <c r="AA1736" s="58"/>
      <c r="AB1736" s="58"/>
      <c r="AC1736" s="58"/>
      <c r="AD1736" s="58"/>
      <c r="AE1736" s="58"/>
      <c r="AF1736" s="58"/>
      <c r="AG1736" s="58"/>
      <c r="AH1736" s="58"/>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6"/>
      <c r="BZ1736" s="619" t="b">
        <f>CNTR_CalcRelevant=EUconst_NotRelevant</f>
        <v>0</v>
      </c>
    </row>
    <row r="1737" spans="1:78" s="142" customFormat="1" ht="15" hidden="1" customHeight="1" thickBot="1">
      <c r="A1737" s="808"/>
      <c r="B1737" s="166"/>
      <c r="C1737" s="166"/>
      <c r="D1737" s="166"/>
      <c r="E1737" s="1547" t="str">
        <f>IF(ISBLANK(E1736),"",IF(INDEX(B_InstallationDescription!$E$71:$E$145,MATCH(U1735,B_InstallationDescription!$D$71:$D$145,0))&gt;0,INDEX(B_InstallationDescription!$E$71:$E$145,MATCH(U1735,B_InstallationDescription!$D$71:$D$145,0)),""))</f>
        <v/>
      </c>
      <c r="F1737" s="1548"/>
      <c r="G1737" s="1548"/>
      <c r="H1737" s="1548"/>
      <c r="I1737" s="1548"/>
      <c r="J1737" s="1549"/>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4"/>
      <c r="AH1737" s="30"/>
      <c r="AI1737" s="30"/>
      <c r="AJ1737" s="504"/>
      <c r="AK1737" s="504"/>
      <c r="AL1737" s="342"/>
      <c r="AM1737" s="27" t="s">
        <v>308</v>
      </c>
      <c r="AN1737" s="505"/>
      <c r="AO1737" s="505"/>
      <c r="AP1737" s="30"/>
      <c r="AQ1737" s="30"/>
      <c r="AR1737" s="30"/>
      <c r="AS1737" s="30"/>
      <c r="AT1737" s="30"/>
      <c r="AU1737" s="30"/>
      <c r="AV1737" s="27" t="s">
        <v>315</v>
      </c>
      <c r="AW1737" s="30"/>
      <c r="AX1737" s="492"/>
      <c r="AY1737" s="30"/>
      <c r="AZ1737" s="30"/>
      <c r="BA1737" s="30"/>
      <c r="BB1737" s="27" t="s">
        <v>219</v>
      </c>
      <c r="BC1737" s="30"/>
      <c r="BD1737" s="30"/>
      <c r="BE1737" s="30"/>
      <c r="BF1737" s="30"/>
      <c r="BG1737" s="27"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0"/>
      <c r="BZ1737" s="30"/>
    </row>
    <row r="1738" spans="1:78" s="142" customFormat="1" ht="4.5" hidden="1" customHeight="1">
      <c r="A1738" s="808"/>
      <c r="B1738" s="166"/>
      <c r="C1738" s="166"/>
      <c r="D1738" s="166"/>
      <c r="E1738" s="166"/>
      <c r="F1738" s="166"/>
      <c r="G1738" s="166"/>
      <c r="M1738" s="143"/>
      <c r="N1738" s="143"/>
      <c r="O1738" s="733"/>
      <c r="P1738" s="33"/>
      <c r="Q1738" s="33"/>
      <c r="R1738" s="33"/>
      <c r="S1738" s="23"/>
      <c r="T1738" s="23"/>
      <c r="U1738" s="23"/>
      <c r="V1738" s="78"/>
      <c r="W1738" s="30"/>
      <c r="X1738" s="30"/>
      <c r="Y1738" s="494"/>
      <c r="Z1738" s="30"/>
      <c r="AA1738" s="30"/>
      <c r="AB1738" s="30"/>
      <c r="AC1738" s="30"/>
      <c r="AD1738" s="30"/>
      <c r="AE1738" s="30"/>
      <c r="AF1738" s="58"/>
      <c r="AG1738" s="30"/>
      <c r="AH1738" s="30"/>
      <c r="AI1738" s="30"/>
      <c r="AJ1738" s="504"/>
      <c r="AK1738" s="504"/>
      <c r="AL1738" s="342"/>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hidden="1" customHeight="1" thickBot="1">
      <c r="A1739" s="808"/>
      <c r="B1739" s="166"/>
      <c r="C1739" s="166"/>
      <c r="D1739" s="166"/>
      <c r="E1739" s="1550" t="str">
        <f>IF(E1736="","",IF(T1737=TRUE,HYPERLINK("#JUMP_14",EUconst_MsgGoOnPFC),HYPERLINK("#JUMP_E_8",EUconst_FurtherGuidancePoint1)))</f>
        <v/>
      </c>
      <c r="F1739" s="1550"/>
      <c r="G1739" s="1550"/>
      <c r="H1739" s="1550"/>
      <c r="I1739" s="1550"/>
      <c r="J1739" s="1550"/>
      <c r="K1739" s="1550"/>
      <c r="L1739" s="1550"/>
      <c r="M1739" s="1550"/>
      <c r="N1739" s="143"/>
      <c r="O1739" s="733"/>
      <c r="P1739" s="33"/>
      <c r="Q1739" s="352" t="str">
        <f>EUconst_SumNonSustBioCO2 &amp; "_" &amp; K1736</f>
        <v>SUM_bioNonSustCO2_</v>
      </c>
      <c r="R1739" s="707"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4"/>
      <c r="AK1739" s="504"/>
      <c r="AL1739" s="342"/>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hidden="1" customHeight="1">
      <c r="A1740" s="808"/>
      <c r="B1740" s="166"/>
      <c r="C1740" s="166"/>
      <c r="D1740" s="166"/>
      <c r="E1740" s="166"/>
      <c r="F1740" s="166"/>
      <c r="G1740" s="166"/>
      <c r="M1740" s="143"/>
      <c r="N1740" s="143"/>
      <c r="O1740" s="733"/>
      <c r="P1740" s="23"/>
      <c r="Q1740" s="23"/>
      <c r="R1740" s="23"/>
      <c r="S1740" s="23"/>
      <c r="T1740" s="23"/>
      <c r="U1740" s="23"/>
      <c r="V1740" s="30"/>
      <c r="W1740" s="30"/>
      <c r="X1740" s="30"/>
      <c r="Y1740" s="494"/>
      <c r="Z1740" s="30"/>
      <c r="AA1740" s="30"/>
      <c r="AB1740" s="30"/>
      <c r="AC1740" s="30"/>
      <c r="AD1740" s="30"/>
      <c r="AE1740" s="30"/>
      <c r="AF1740" s="58"/>
      <c r="AG1740" s="30"/>
      <c r="AH1740" s="30"/>
      <c r="AI1740" s="30"/>
      <c r="AJ1740" s="504"/>
      <c r="AK1740" s="504"/>
      <c r="AL1740" s="342"/>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hidden="1" customHeight="1" thickBot="1">
      <c r="A1741" s="808"/>
      <c r="B1741" s="166"/>
      <c r="C1741" s="814" t="s">
        <v>4</v>
      </c>
      <c r="D1741" s="512" t="str">
        <f>Translations!$B$622</f>
        <v>VD:</v>
      </c>
      <c r="E1741" s="1560" t="str">
        <f>Translations!$B$667</f>
        <v>Ar veiklos duomenys gaunami sudedant išmatuotus kiekius (t. y. ne atliekant nuolatinius matavimus)?</v>
      </c>
      <c r="F1741" s="1560"/>
      <c r="G1741" s="1560"/>
      <c r="H1741" s="1560"/>
      <c r="I1741" s="1560"/>
      <c r="J1741" s="1560"/>
      <c r="K1741" s="1560"/>
      <c r="L1741" s="1179"/>
      <c r="M1741" s="507"/>
      <c r="O1741" s="733"/>
      <c r="P1741" s="23"/>
      <c r="Q1741" s="23"/>
      <c r="R1741" s="23"/>
      <c r="S1741" s="23"/>
      <c r="T1741" s="23"/>
      <c r="U1741" s="23"/>
      <c r="V1741" s="30"/>
      <c r="W1741" s="30"/>
      <c r="X1741" s="30"/>
      <c r="Y1741" s="494"/>
      <c r="Z1741" s="30"/>
      <c r="AA1741" s="30"/>
      <c r="AB1741" s="30"/>
      <c r="AC1741" s="1172" t="b">
        <f>AND(E1736&lt;&gt;"",T1737&lt;&gt;TRUE)</f>
        <v>0</v>
      </c>
      <c r="AD1741" s="30"/>
      <c r="AE1741" s="30"/>
      <c r="AF1741" s="58"/>
      <c r="AG1741" s="30"/>
      <c r="AH1741" s="30"/>
      <c r="AI1741" s="30"/>
      <c r="AJ1741" s="504"/>
      <c r="AK1741" s="504"/>
      <c r="AL1741" s="342"/>
      <c r="AM1741" s="30"/>
      <c r="AN1741" s="30"/>
      <c r="AO1741" s="30"/>
      <c r="AP1741" s="30"/>
      <c r="AQ1741" s="30"/>
      <c r="AR1741" s="30"/>
      <c r="AS1741" s="30"/>
      <c r="AT1741" s="1172"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2" t="b">
        <f>OR(CNTR_CalcRelevant=EUconst_NotRelevant,AND(COUNTA(CNTR_ListRelevantSections)&gt;0,OR(T1737=TRUE,E1736="")))</f>
        <v>1</v>
      </c>
    </row>
    <row r="1742" spans="1:78" s="142" customFormat="1" ht="5.0999999999999996" hidden="1" customHeight="1">
      <c r="A1742" s="808"/>
      <c r="B1742" s="166"/>
      <c r="C1742" s="166"/>
      <c r="D1742" s="166"/>
      <c r="E1742" s="166"/>
      <c r="F1742" s="166"/>
      <c r="G1742" s="166"/>
      <c r="H1742" s="495"/>
      <c r="I1742" s="495"/>
      <c r="J1742" s="495"/>
      <c r="K1742" s="495"/>
      <c r="L1742" s="495"/>
      <c r="M1742" s="507"/>
      <c r="O1742" s="733"/>
      <c r="P1742" s="23"/>
      <c r="Q1742" s="23"/>
      <c r="R1742" s="23"/>
      <c r="S1742" s="23"/>
      <c r="T1742" s="23"/>
      <c r="U1742" s="23"/>
      <c r="V1742" s="30"/>
      <c r="W1742" s="30"/>
      <c r="X1742" s="30"/>
      <c r="Y1742" s="494"/>
      <c r="Z1742" s="30"/>
      <c r="AA1742" s="30"/>
      <c r="AB1742" s="30"/>
      <c r="AC1742" s="492"/>
      <c r="AD1742" s="30"/>
      <c r="AE1742" s="30"/>
      <c r="AF1742" s="58"/>
      <c r="AG1742" s="30"/>
      <c r="AH1742" s="30"/>
      <c r="AI1742" s="30"/>
      <c r="AJ1742" s="504"/>
      <c r="AK1742" s="504"/>
      <c r="AL1742" s="342"/>
      <c r="AM1742" s="30"/>
      <c r="AN1742" s="30"/>
      <c r="AO1742" s="30"/>
      <c r="AP1742" s="30"/>
      <c r="AQ1742" s="30"/>
      <c r="AR1742" s="30"/>
      <c r="AS1742" s="30"/>
      <c r="AT1742" s="492"/>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2"/>
    </row>
    <row r="1743" spans="1:78" s="142" customFormat="1" ht="12.75" hidden="1" customHeight="1" thickBot="1">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3"/>
      <c r="Q1743" s="23"/>
      <c r="R1743" s="23"/>
      <c r="S1743" s="23"/>
      <c r="T1743" s="23"/>
      <c r="U1743" s="23"/>
      <c r="V1743" s="30"/>
      <c r="W1743" s="30"/>
      <c r="X1743" s="30"/>
      <c r="Y1743" s="494"/>
      <c r="Z1743" s="30"/>
      <c r="AA1743" s="30"/>
      <c r="AB1743" s="30"/>
      <c r="AC1743" s="1172" t="b">
        <f>AC1741</f>
        <v>0</v>
      </c>
      <c r="AD1743" s="30"/>
      <c r="AE1743" s="30"/>
      <c r="AF1743" s="58"/>
      <c r="AG1743" s="30"/>
      <c r="AH1743" s="30"/>
      <c r="AI1743" s="30"/>
      <c r="AJ1743" s="504"/>
      <c r="AK1743" s="504"/>
      <c r="AL1743" s="342"/>
      <c r="AM1743" s="30"/>
      <c r="AN1743" s="30"/>
      <c r="AO1743" s="30"/>
      <c r="AP1743" s="30"/>
      <c r="AQ1743" s="30"/>
      <c r="AR1743" s="30"/>
      <c r="AS1743" s="30"/>
      <c r="AT1743" s="1172"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2" t="b">
        <f>OR(BZ1741,AND(NOT(ISBLANK(L1741)),L1741=FALSE))</f>
        <v>1</v>
      </c>
    </row>
    <row r="1744" spans="1:78" s="142" customFormat="1" ht="5.0999999999999996" hidden="1" customHeight="1">
      <c r="A1744" s="808"/>
      <c r="B1744" s="166"/>
      <c r="C1744" s="166"/>
      <c r="D1744" s="166"/>
      <c r="E1744" s="166"/>
      <c r="F1744" s="166"/>
      <c r="G1744" s="166"/>
      <c r="M1744" s="143"/>
      <c r="N1744" s="143"/>
      <c r="O1744" s="733"/>
      <c r="P1744" s="23"/>
      <c r="Q1744" s="23"/>
      <c r="R1744" s="23"/>
      <c r="S1744" s="23"/>
      <c r="T1744" s="23"/>
      <c r="U1744" s="23"/>
      <c r="V1744" s="30"/>
      <c r="W1744" s="30"/>
      <c r="X1744" s="30"/>
      <c r="Y1744" s="494"/>
      <c r="Z1744" s="30"/>
      <c r="AA1744" s="30"/>
      <c r="AB1744" s="30"/>
      <c r="AC1744" s="30"/>
      <c r="AD1744" s="30"/>
      <c r="AE1744" s="30"/>
      <c r="AF1744" s="58"/>
      <c r="AG1744" s="30"/>
      <c r="AH1744" s="30"/>
      <c r="AI1744" s="30"/>
      <c r="AJ1744" s="504"/>
      <c r="AK1744" s="504"/>
      <c r="AL1744" s="342"/>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hidden="1" customHeight="1" thickBot="1">
      <c r="A1745" s="808"/>
      <c r="B1745" s="166"/>
      <c r="C1745" s="166"/>
      <c r="D1745" s="166"/>
      <c r="E1745" s="166"/>
      <c r="F1745" s="506" t="str">
        <f>Translations!$B$333</f>
        <v>Pakopa</v>
      </c>
      <c r="G1745" s="1557" t="str">
        <f>Translations!$B$672</f>
        <v>pakopos aprašas</v>
      </c>
      <c r="H1745" s="1557"/>
      <c r="I1745" s="1555" t="str">
        <f>Translations!$B$158</f>
        <v>Vienetas</v>
      </c>
      <c r="J1745" s="1555"/>
      <c r="K1745" s="1555" t="str">
        <f>Translations!$B$673</f>
        <v>Vertė</v>
      </c>
      <c r="L1745" s="1555"/>
      <c r="M1745" s="507" t="str">
        <f>Translations!$B$610</f>
        <v>klaida</v>
      </c>
      <c r="O1745" s="733"/>
      <c r="P1745" s="508"/>
      <c r="Q1745" s="352" t="str">
        <f>EUconst_SumEnergyIN &amp; "_" &amp; K1736</f>
        <v>SUM_EnergyIN_</v>
      </c>
      <c r="R1745" s="399" t="str">
        <f>IF(OR(K1736="",T1737)=TRUE,"",INDEX(BC1751:BE1751,MATCH(K1736,BC1746:BE1746,0)))</f>
        <v/>
      </c>
      <c r="S1745" s="30"/>
      <c r="T1745" s="489"/>
      <c r="U1745" s="30"/>
      <c r="V1745" s="509" t="s">
        <v>303</v>
      </c>
      <c r="W1745" s="30"/>
      <c r="X1745" s="30"/>
      <c r="Y1745" s="494" t="s">
        <v>566</v>
      </c>
      <c r="Z1745" s="494" t="s">
        <v>318</v>
      </c>
      <c r="AA1745" s="30"/>
      <c r="AB1745" s="30"/>
      <c r="AC1745" s="505" t="s">
        <v>309</v>
      </c>
      <c r="AD1745" s="30"/>
      <c r="AE1745" s="30"/>
      <c r="AF1745" s="492" t="s">
        <v>305</v>
      </c>
      <c r="AG1745" s="492" t="s">
        <v>306</v>
      </c>
      <c r="AH1745" s="494" t="s">
        <v>304</v>
      </c>
      <c r="AI1745" s="504" t="s">
        <v>307</v>
      </c>
      <c r="AJ1745" s="504" t="s">
        <v>567</v>
      </c>
      <c r="AK1745" s="510" t="s">
        <v>311</v>
      </c>
      <c r="AL1745" s="342"/>
      <c r="AM1745" s="30"/>
      <c r="AN1745" s="492" t="s">
        <v>305</v>
      </c>
      <c r="AO1745" s="492" t="s">
        <v>306</v>
      </c>
      <c r="AP1745" s="511" t="s">
        <v>310</v>
      </c>
      <c r="AQ1745" s="504" t="s">
        <v>569</v>
      </c>
      <c r="AR1745" s="504" t="s">
        <v>568</v>
      </c>
      <c r="AS1745" s="510" t="s">
        <v>609</v>
      </c>
      <c r="AT1745" s="510" t="s">
        <v>609</v>
      </c>
      <c r="AU1745" s="30"/>
      <c r="AV1745" s="492"/>
      <c r="AW1745" s="492"/>
      <c r="AX1745" s="492" t="s">
        <v>321</v>
      </c>
      <c r="AY1745" s="492"/>
      <c r="AZ1745" s="492"/>
      <c r="BA1745" s="492"/>
      <c r="BB1745" s="492"/>
      <c r="BC1745" s="492"/>
      <c r="BD1745" s="492"/>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3" t="s">
        <v>262</v>
      </c>
    </row>
    <row r="1746" spans="1:78" s="142" customFormat="1" ht="12.75" hidden="1" customHeight="1" thickBot="1">
      <c r="A1746" s="808"/>
      <c r="B1746" s="166"/>
      <c r="C1746" s="777" t="s">
        <v>196</v>
      </c>
      <c r="D1746" s="512" t="str">
        <f>Translations!$B$622</f>
        <v>VD:</v>
      </c>
      <c r="E1746" s="513"/>
      <c r="F1746" s="402"/>
      <c r="G1746" s="1532" t="str">
        <f>IF(OR(ISBLANK(F1746),F1746=EUconst_NoTier),"",IF(Z1746=0,EUconst_NA,IF(ISERROR(Z1746),"",Z1746)))</f>
        <v/>
      </c>
      <c r="H1746" s="1533"/>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0"/>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0"/>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0"/>
      <c r="AV1746" s="492" t="s">
        <v>314</v>
      </c>
      <c r="AW1746" s="492" t="s">
        <v>319</v>
      </c>
      <c r="AX1746" s="524"/>
      <c r="AY1746" s="30" t="s">
        <v>542</v>
      </c>
      <c r="AZ1746" s="30"/>
      <c r="BA1746" s="30"/>
      <c r="BB1746" s="504"/>
      <c r="BC1746" s="493" t="str">
        <f>EUconst_Fuel</f>
        <v>Degimas</v>
      </c>
      <c r="BD1746" s="493" t="str">
        <f>EUconst_ProcessCarbonate</f>
        <v>Proceso metu išsiskiriančios ŠESD</v>
      </c>
      <c r="BE1746" s="493"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4" t="b">
        <f>BZ1741</f>
        <v>1</v>
      </c>
    </row>
    <row r="1747" spans="1:78" s="142" customFormat="1" ht="5.0999999999999996" hidden="1" customHeight="1">
      <c r="A1747" s="808"/>
      <c r="B1747" s="166"/>
      <c r="C1747" s="814"/>
      <c r="D1747" s="306"/>
      <c r="F1747" s="143"/>
      <c r="G1747" s="143"/>
      <c r="H1747" s="143" t="s">
        <v>236</v>
      </c>
      <c r="I1747" s="525"/>
      <c r="J1747" s="525"/>
      <c r="K1747" s="143"/>
      <c r="L1747" s="143"/>
      <c r="M1747" s="710"/>
      <c r="O1747" s="733"/>
      <c r="P1747" s="33"/>
      <c r="Q1747" s="33"/>
      <c r="R1747" s="33"/>
      <c r="S1747" s="30"/>
      <c r="T1747" s="155"/>
      <c r="U1747" s="497"/>
      <c r="V1747" s="30"/>
      <c r="W1747" s="30"/>
      <c r="X1747" s="497"/>
      <c r="Y1747" s="526"/>
      <c r="Z1747" s="30"/>
      <c r="AA1747" s="30"/>
      <c r="AB1747" s="30"/>
      <c r="AC1747" s="30"/>
      <c r="AD1747" s="30"/>
      <c r="AE1747" s="30"/>
      <c r="AF1747" s="30"/>
      <c r="AG1747" s="30"/>
      <c r="AH1747" s="30"/>
      <c r="AI1747" s="30"/>
      <c r="AJ1747" s="30"/>
      <c r="AK1747" s="30"/>
      <c r="AL1747" s="342"/>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3"/>
    </row>
    <row r="1748" spans="1:78" s="142" customFormat="1" ht="12.75" hidden="1" customHeight="1" thickBot="1">
      <c r="A1748" s="808"/>
      <c r="B1748" s="166"/>
      <c r="C1748" s="814" t="s">
        <v>197</v>
      </c>
      <c r="D1748" s="512" t="str">
        <f>Translations!$B$634</f>
        <v>(prelim.) ITF:</v>
      </c>
      <c r="E1748" s="513"/>
      <c r="F1748" s="527"/>
      <c r="G1748" s="1532" t="str">
        <f t="shared" ref="G1748:G1754" si="434">IF(OR(ISBLANK(F1748),F1748=EUconst_NoTier),"",IF(Z1748=0,EUconst_NotApplicable,IF(ISERROR(Z1748),"",Z1748)))</f>
        <v/>
      </c>
      <c r="H1748" s="1556"/>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3"/>
      <c r="Q1748" s="33"/>
      <c r="R1748" s="33"/>
      <c r="S1748" s="30"/>
      <c r="T1748" s="530" t="str">
        <f>EUconst_CNTR_EF&amp;E1737</f>
        <v>EF_</v>
      </c>
      <c r="U1748" s="497"/>
      <c r="V1748" s="531" t="str">
        <f>V1746</f>
        <v/>
      </c>
      <c r="W1748" s="30"/>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0"/>
      <c r="AC1748" s="535" t="b">
        <f>AND(AC1746,Y1748&lt;&gt;EUconst_NA)</f>
        <v>0</v>
      </c>
      <c r="AD1748" s="30"/>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0"/>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0"/>
      <c r="BA1748" s="30"/>
      <c r="BB1748" s="547" t="s">
        <v>594</v>
      </c>
      <c r="BC1748" s="546" t="str">
        <f>IF(K1736=BC1746,AR1746*IF(AJ1748=EUconst_tCO2pTJ,(AR1749/1000),1)*AR1748*AR1750*AR1754,"")</f>
        <v/>
      </c>
      <c r="BD1748" s="524" t="str">
        <f>IF(K1736=BD1746,AR1746*AR1748*AR1751*AR1754,"")</f>
        <v/>
      </c>
      <c r="BE1748" s="523"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1" t="b">
        <f>OR(BZ1746,Y1748=EUconst_NA)</f>
        <v>1</v>
      </c>
    </row>
    <row r="1749" spans="1:78" s="142" customFormat="1" ht="12.75" hidden="1" customHeight="1" thickBot="1">
      <c r="A1749" s="808"/>
      <c r="B1749" s="166"/>
      <c r="C1749" s="814" t="s">
        <v>198</v>
      </c>
      <c r="D1749" s="512" t="str">
        <f>Translations!$B$636</f>
        <v>GŠV:</v>
      </c>
      <c r="E1749" s="513"/>
      <c r="F1749" s="548"/>
      <c r="G1749" s="1532" t="str">
        <f t="shared" si="434"/>
        <v/>
      </c>
      <c r="H1749" s="1533"/>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3"/>
      <c r="Q1749" s="33"/>
      <c r="R1749" s="33"/>
      <c r="S1749" s="30"/>
      <c r="T1749" s="552" t="str">
        <f>EUconst_CNTR_NCV&amp;E1737</f>
        <v>NCV_</v>
      </c>
      <c r="U1749" s="497"/>
      <c r="V1749" s="553" t="str">
        <f t="shared" ref="V1749:V1754" si="440">V1748</f>
        <v/>
      </c>
      <c r="W1749" s="30"/>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0"/>
      <c r="AC1749" s="557" t="b">
        <f>AND(AC1746,Y1749&lt;&gt;EUconst_NA)</f>
        <v>0</v>
      </c>
      <c r="AD1749" s="30"/>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0"/>
      <c r="AV1749" s="567" t="b">
        <f t="shared" si="437"/>
        <v>0</v>
      </c>
      <c r="AW1749" s="568" t="b">
        <f t="shared" si="438"/>
        <v>0</v>
      </c>
      <c r="AX1749" s="30"/>
      <c r="AY1749" s="553" t="b">
        <f t="shared" si="439"/>
        <v>0</v>
      </c>
      <c r="AZ1749" s="30"/>
      <c r="BA1749" s="30"/>
      <c r="BB1749" s="547" t="s">
        <v>595</v>
      </c>
      <c r="BC1749" s="546" t="str">
        <f>IF(K1736=BC1746,AR1746*IF(AJ1748=EUconst_tCO2pTJ,(AR1749/1000),1)*AR1748*AR1750*AR1753,"")</f>
        <v/>
      </c>
      <c r="BD1749" s="524" t="str">
        <f>IF(K1736=BD1746,AR1746*AR1748*AR1751*AR1753,"")</f>
        <v/>
      </c>
      <c r="BE1749" s="523"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3" t="b">
        <f>OR(BZ1746,Y1749=EUconst_NA)</f>
        <v>1</v>
      </c>
    </row>
    <row r="1750" spans="1:78" s="142" customFormat="1" ht="12.75" hidden="1" customHeight="1" thickBot="1">
      <c r="A1750" s="808"/>
      <c r="B1750" s="166"/>
      <c r="C1750" s="814" t="s">
        <v>199</v>
      </c>
      <c r="D1750" s="512" t="str">
        <f>Translations!$B$638</f>
        <v>OksK:</v>
      </c>
      <c r="E1750" s="513"/>
      <c r="F1750" s="548"/>
      <c r="G1750" s="1532" t="str">
        <f t="shared" si="434"/>
        <v/>
      </c>
      <c r="H1750" s="1533"/>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3"/>
      <c r="Q1750" s="33"/>
      <c r="R1750" s="33"/>
      <c r="S1750" s="30"/>
      <c r="T1750" s="552" t="str">
        <f>EUconst_CNTR_OxidationFactor&amp;E1737</f>
        <v>OxF_</v>
      </c>
      <c r="U1750" s="497"/>
      <c r="V1750" s="553" t="str">
        <f t="shared" si="440"/>
        <v/>
      </c>
      <c r="W1750" s="30"/>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0"/>
      <c r="AC1750" s="557" t="b">
        <f>AND(AC1746,Y1750&lt;&gt;EUconst_NA)</f>
        <v>0</v>
      </c>
      <c r="AD1750" s="30"/>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0"/>
      <c r="AV1750" s="567" t="b">
        <f t="shared" si="437"/>
        <v>0</v>
      </c>
      <c r="AW1750" s="568" t="b">
        <f t="shared" si="438"/>
        <v>0</v>
      </c>
      <c r="AX1750" s="30"/>
      <c r="AY1750" s="594" t="b">
        <f t="shared" si="439"/>
        <v>0</v>
      </c>
      <c r="AZ1750" s="531" t="b">
        <f>AR1750&gt;100%</f>
        <v>0</v>
      </c>
      <c r="BA1750" s="30"/>
      <c r="BB1750" s="547" t="s">
        <v>290</v>
      </c>
      <c r="BC1750" s="546" t="str">
        <f>IF(K1736=BC1746,AR1746*IF(AJ1748=EUconst_tCO2pTJ,(AR1749/1000),1)*AR1748*AR1750*(1-AR1753),"")</f>
        <v/>
      </c>
      <c r="BD1750" s="524" t="str">
        <f>IF(K1736=BD1746,AR1746*AR1748*AR1751*(1-AR1753),"")</f>
        <v/>
      </c>
      <c r="BE1750" s="523"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3" t="b">
        <f>OR(BZ1746,Y1750=EUconst_NA)</f>
        <v>1</v>
      </c>
    </row>
    <row r="1751" spans="1:78" s="142" customFormat="1" ht="12.75" hidden="1" customHeight="1" thickBot="1">
      <c r="A1751" s="808"/>
      <c r="B1751" s="166"/>
      <c r="C1751" s="814" t="s">
        <v>200</v>
      </c>
      <c r="D1751" s="512" t="str">
        <f>Translations!$B$639</f>
        <v>KonvK:</v>
      </c>
      <c r="E1751" s="513"/>
      <c r="F1751" s="548"/>
      <c r="G1751" s="1532" t="str">
        <f t="shared" si="434"/>
        <v/>
      </c>
      <c r="H1751" s="1533"/>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3"/>
      <c r="Q1751" s="33"/>
      <c r="R1751" s="33"/>
      <c r="S1751" s="30"/>
      <c r="T1751" s="552" t="str">
        <f>EUconst_CNTR_ConversionFactor&amp;E1737</f>
        <v>ConvF_</v>
      </c>
      <c r="U1751" s="497"/>
      <c r="V1751" s="553" t="str">
        <f t="shared" si="440"/>
        <v/>
      </c>
      <c r="W1751" s="30"/>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0"/>
      <c r="AC1751" s="557" t="b">
        <f>AND(AC1746,Y1751&lt;&gt;EUconst_NA)</f>
        <v>0</v>
      </c>
      <c r="AD1751" s="30"/>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0"/>
      <c r="AV1751" s="567" t="b">
        <f t="shared" si="437"/>
        <v>0</v>
      </c>
      <c r="AW1751" s="568" t="b">
        <f t="shared" si="438"/>
        <v>0</v>
      </c>
      <c r="AX1751" s="30"/>
      <c r="AY1751" s="594" t="b">
        <f t="shared" si="439"/>
        <v>0</v>
      </c>
      <c r="AZ1751" s="580" t="b">
        <f>AR1751&gt;100%</f>
        <v>0</v>
      </c>
      <c r="BA1751" s="30"/>
      <c r="BB1751" s="578" t="s">
        <v>487</v>
      </c>
      <c r="BC1751" s="579">
        <f>AR1746*AR1749/1000*(1-AR1753)</f>
        <v>0</v>
      </c>
      <c r="BD1751" s="580">
        <f>BC1751</f>
        <v>0</v>
      </c>
      <c r="BE1751" s="581">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3" t="b">
        <f>OR(BZ1746,Y1751=EUconst_NA)</f>
        <v>1</v>
      </c>
    </row>
    <row r="1752" spans="1:78" s="142" customFormat="1" ht="12.75" hidden="1" customHeight="1" thickBot="1">
      <c r="A1752" s="808"/>
      <c r="B1752" s="166"/>
      <c r="C1752" s="814" t="s">
        <v>329</v>
      </c>
      <c r="D1752" s="512" t="str">
        <f>Translations!$B$640</f>
        <v>AnglK:</v>
      </c>
      <c r="E1752" s="513"/>
      <c r="F1752" s="548"/>
      <c r="G1752" s="1532" t="str">
        <f t="shared" si="434"/>
        <v/>
      </c>
      <c r="H1752" s="1533"/>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3"/>
      <c r="Q1752" s="33"/>
      <c r="R1752" s="33"/>
      <c r="S1752" s="30"/>
      <c r="T1752" s="552" t="str">
        <f>EUconst_CNTR_CarbonContent&amp;E1737</f>
        <v>CarbC_</v>
      </c>
      <c r="U1752" s="497"/>
      <c r="V1752" s="553" t="str">
        <f t="shared" si="440"/>
        <v/>
      </c>
      <c r="W1752" s="30"/>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0"/>
      <c r="AC1752" s="557" t="b">
        <f>AND(AC1746,Y1752&lt;&gt;EUconst_NA)</f>
        <v>0</v>
      </c>
      <c r="AD1752" s="30"/>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0"/>
      <c r="AV1752" s="567" t="b">
        <f t="shared" si="437"/>
        <v>0</v>
      </c>
      <c r="AW1752" s="568" t="b">
        <f t="shared" si="438"/>
        <v>0</v>
      </c>
      <c r="AX1752" s="546" t="b">
        <f>OR(AND(AJ1746=EUconst_kNm3,AJ1752=EUconst_tCpt),AND(AJ1746=EUconst_t,AJ1752=EUconst_tCpkNm3))</f>
        <v>0</v>
      </c>
      <c r="AY1752" s="553" t="b">
        <f t="shared" si="439"/>
        <v>0</v>
      </c>
      <c r="AZ1752" s="30"/>
      <c r="BA1752" s="30"/>
      <c r="BB1752" s="578" t="s">
        <v>488</v>
      </c>
      <c r="BC1752" s="579">
        <f>AR1746*AR1749/1000*AR1753</f>
        <v>0</v>
      </c>
      <c r="BD1752" s="580">
        <f>BC1752</f>
        <v>0</v>
      </c>
      <c r="BE1752" s="581">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3" t="b">
        <f>OR(BZ1746,Y1752=EUconst_NA)</f>
        <v>1</v>
      </c>
    </row>
    <row r="1753" spans="1:78" s="142" customFormat="1" ht="12.75" hidden="1" customHeight="1">
      <c r="A1753" s="808"/>
      <c r="B1753" s="166"/>
      <c r="C1753" s="777" t="s">
        <v>330</v>
      </c>
      <c r="D1753" s="512" t="str">
        <f>Translations!$B$641</f>
        <v>BioC:</v>
      </c>
      <c r="E1753" s="513"/>
      <c r="F1753" s="548"/>
      <c r="G1753" s="1532" t="str">
        <f t="shared" si="434"/>
        <v/>
      </c>
      <c r="H1753" s="1533"/>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0"/>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0"/>
      <c r="AC1753" s="557" t="b">
        <f>AND(AC1746,Y1753&lt;&gt;EUconst_NA)</f>
        <v>0</v>
      </c>
      <c r="AD1753" s="30"/>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0"/>
      <c r="AV1753" s="567" t="b">
        <f t="shared" si="437"/>
        <v>0</v>
      </c>
      <c r="AW1753" s="568" t="b">
        <f t="shared" si="438"/>
        <v>0</v>
      </c>
      <c r="AX1753" s="30"/>
      <c r="AY1753" s="594" t="b">
        <f t="shared" si="439"/>
        <v>0</v>
      </c>
      <c r="AZ1753" s="531"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3" t="b">
        <f>OR(BZ1746,Y1753=EUconst_NA)</f>
        <v>1</v>
      </c>
    </row>
    <row r="1754" spans="1:78" s="142" customFormat="1" ht="12.75" hidden="1" customHeight="1" thickBot="1">
      <c r="A1754" s="808"/>
      <c r="B1754" s="166"/>
      <c r="C1754" s="777" t="s">
        <v>454</v>
      </c>
      <c r="D1754" s="512" t="str">
        <f>Translations!$B$647</f>
        <v>Netvar. BioC:</v>
      </c>
      <c r="E1754" s="513"/>
      <c r="F1754" s="597"/>
      <c r="G1754" s="1532" t="str">
        <f t="shared" si="434"/>
        <v/>
      </c>
      <c r="H1754" s="1533"/>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0"/>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0"/>
      <c r="AC1754" s="603" t="b">
        <f>AND(AC1746,Y1754&lt;&gt;EUconst_NA)</f>
        <v>0</v>
      </c>
      <c r="AD1754" s="30"/>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0"/>
      <c r="AV1754" s="613" t="b">
        <f t="shared" si="437"/>
        <v>0</v>
      </c>
      <c r="AW1754" s="614" t="b">
        <f t="shared" si="438"/>
        <v>0</v>
      </c>
      <c r="AX1754" s="30"/>
      <c r="AY1754" s="579" t="b">
        <f t="shared" si="439"/>
        <v>0</v>
      </c>
      <c r="AZ1754" s="580"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80" t="b">
        <f>OR(BZ1746,Y1754=EUconst_NA)</f>
        <v>1</v>
      </c>
    </row>
    <row r="1755" spans="1:78" s="142" customFormat="1" ht="5.0999999999999996" hidden="1" customHeight="1">
      <c r="A1755" s="808"/>
      <c r="B1755" s="166"/>
      <c r="C1755" s="166"/>
      <c r="D1755" s="180"/>
      <c r="O1755" s="733"/>
      <c r="P1755" s="33"/>
      <c r="Q1755" s="33"/>
      <c r="R1755" s="33"/>
      <c r="S1755" s="174"/>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hidden="1" customHeight="1">
      <c r="A1756" s="808"/>
      <c r="B1756" s="166"/>
      <c r="C1756" s="166"/>
      <c r="D1756" s="1558" t="str">
        <f>Translations!$B$674</f>
        <v>Pakopos galioja nuo:</v>
      </c>
      <c r="E1756" s="1558"/>
      <c r="F1756" s="1559"/>
      <c r="G1756" s="1052"/>
      <c r="H1756" s="615" t="str">
        <f>Translations!$B$675</f>
        <v>iki:</v>
      </c>
      <c r="I1756" s="1052"/>
      <c r="J1756" s="1536" t="str">
        <f>Translations!$B$676</f>
        <v>Atliekų katalogo numeris (jeigu taikytina):</v>
      </c>
      <c r="K1756" s="1537"/>
      <c r="L1756" s="1537"/>
      <c r="M1756" s="1538"/>
      <c r="N1756" s="1289"/>
      <c r="O1756" s="733"/>
      <c r="P1756" s="33"/>
      <c r="Q1756" s="33"/>
      <c r="R1756" s="33"/>
      <c r="S1756" s="1290"/>
      <c r="T1756" s="492"/>
      <c r="U1756" s="492"/>
      <c r="V1756" s="48" t="b">
        <f>IF(V1746="",FALSE,INDEX(CNTR_IsWaste,MATCH(V1746,MSParameters!$A$218:$A$376,0)))</f>
        <v>0</v>
      </c>
      <c r="W1756" s="1290"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hidden="1" customHeight="1">
      <c r="A1757" s="808"/>
      <c r="B1757" s="166"/>
      <c r="C1757" s="166"/>
      <c r="D1757" s="615"/>
      <c r="E1757" s="495"/>
      <c r="F1757" s="495"/>
      <c r="G1757" s="495"/>
      <c r="H1757" s="495"/>
      <c r="I1757" s="495"/>
      <c r="J1757" s="495"/>
      <c r="K1757" s="495"/>
      <c r="L1757" s="495"/>
      <c r="M1757" s="495"/>
      <c r="N1757" s="495"/>
      <c r="O1757" s="733"/>
      <c r="P1757" s="33"/>
      <c r="Q1757" s="33"/>
      <c r="R1757" s="33"/>
      <c r="S1757" s="174"/>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hidden="1" customHeight="1">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3"/>
      <c r="Q1758" s="33"/>
      <c r="R1758" s="33"/>
      <c r="S1758" s="174"/>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hidden="1" customHeight="1">
      <c r="A1759" s="815"/>
      <c r="D1759" s="180"/>
      <c r="O1759" s="573"/>
      <c r="P1759" s="497"/>
      <c r="Q1759" s="497"/>
      <c r="R1759" s="497"/>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hidden="1">
      <c r="A1760" s="815"/>
      <c r="D1760" s="1534" t="str">
        <f>Translations!$B$160</f>
        <v>Pastabos:</v>
      </c>
      <c r="E1760" s="1535"/>
      <c r="F1760" s="1539"/>
      <c r="G1760" s="1540"/>
      <c r="H1760" s="1540"/>
      <c r="I1760" s="1540"/>
      <c r="J1760" s="1540"/>
      <c r="K1760" s="1540"/>
      <c r="L1760" s="1540"/>
      <c r="M1760" s="1540"/>
      <c r="N1760" s="1541"/>
      <c r="O1760" s="573"/>
      <c r="P1760" s="497"/>
      <c r="Q1760" s="497"/>
      <c r="R1760" s="497"/>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c r="A1761" s="808"/>
      <c r="B1761" s="495"/>
      <c r="C1761" s="499"/>
      <c r="D1761" s="500"/>
      <c r="E1761" s="501"/>
      <c r="F1761" s="499"/>
      <c r="G1761" s="502"/>
      <c r="H1761" s="502"/>
      <c r="I1761" s="502"/>
      <c r="J1761" s="502"/>
      <c r="K1761" s="502"/>
      <c r="L1761" s="502"/>
      <c r="M1761" s="502"/>
      <c r="N1761" s="502"/>
      <c r="O1761" s="740"/>
      <c r="P1761" s="494"/>
      <c r="Q1761" s="494"/>
      <c r="R1761" s="494"/>
      <c r="S1761" s="58"/>
      <c r="T1761" s="58"/>
      <c r="U1761" s="498"/>
      <c r="V1761" s="58"/>
      <c r="W1761" s="58"/>
      <c r="X1761" s="498"/>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c r="A1762" s="813"/>
      <c r="B1762" s="495"/>
      <c r="C1762" s="495"/>
      <c r="D1762" s="180"/>
      <c r="E1762" s="496"/>
      <c r="F1762" s="495"/>
      <c r="G1762" s="487"/>
      <c r="H1762" s="487"/>
      <c r="I1762" s="487"/>
      <c r="J1762" s="487"/>
      <c r="K1762" s="495"/>
      <c r="L1762" s="487"/>
      <c r="M1762" s="487"/>
      <c r="N1762" s="487"/>
      <c r="O1762" s="740"/>
      <c r="P1762" s="494"/>
      <c r="Q1762" s="494"/>
      <c r="R1762" s="494"/>
      <c r="S1762" s="23"/>
      <c r="T1762" s="27" t="str">
        <f>IF(ISBLANK(E1763),"",MATCH(E1763,CNTR_SourceStreamNames,0))</f>
        <v/>
      </c>
      <c r="U1762" s="618"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1"/>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3" t="s">
        <v>262</v>
      </c>
    </row>
    <row r="1763" spans="1:78" s="142" customFormat="1" ht="15" hidden="1" customHeight="1" thickBot="1">
      <c r="A1763" s="869" t="str">
        <f>IF(E1763="","","PRINT")</f>
        <v/>
      </c>
      <c r="B1763" s="166"/>
      <c r="C1763" s="617">
        <f>C1736+1</f>
        <v>64</v>
      </c>
      <c r="D1763" s="166"/>
      <c r="E1763" s="1542"/>
      <c r="F1763" s="1543"/>
      <c r="G1763" s="1543"/>
      <c r="H1763" s="1543"/>
      <c r="I1763" s="1543"/>
      <c r="J1763" s="1544"/>
      <c r="K1763" s="1545" t="str">
        <f>IF(E1764="","",INDEX(EUwideConstants!$F$353:$F$394,MATCH(E1764,EUConst_TierActivityListNames,0)))</f>
        <v/>
      </c>
      <c r="L1763" s="1546"/>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3"/>
      <c r="T1763" s="509" t="s">
        <v>393</v>
      </c>
      <c r="U1763" s="23"/>
      <c r="V1763" s="78"/>
      <c r="W1763" s="56"/>
      <c r="X1763" s="58"/>
      <c r="Y1763" s="58"/>
      <c r="Z1763" s="58"/>
      <c r="AA1763" s="58"/>
      <c r="AB1763" s="58"/>
      <c r="AC1763" s="58"/>
      <c r="AD1763" s="58"/>
      <c r="AE1763" s="58"/>
      <c r="AF1763" s="58"/>
      <c r="AG1763" s="58"/>
      <c r="AH1763" s="58"/>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6"/>
      <c r="BZ1763" s="619" t="b">
        <f>CNTR_CalcRelevant=EUconst_NotRelevant</f>
        <v>0</v>
      </c>
    </row>
    <row r="1764" spans="1:78" s="142" customFormat="1" ht="15" hidden="1" customHeight="1" thickBot="1">
      <c r="A1764" s="808"/>
      <c r="B1764" s="166"/>
      <c r="C1764" s="166"/>
      <c r="D1764" s="166"/>
      <c r="E1764" s="1547" t="str">
        <f>IF(ISBLANK(E1763),"",IF(INDEX(B_InstallationDescription!$E$71:$E$145,MATCH(U1762,B_InstallationDescription!$D$71:$D$145,0))&gt;0,INDEX(B_InstallationDescription!$E$71:$E$145,MATCH(U1762,B_InstallationDescription!$D$71:$D$145,0)),""))</f>
        <v/>
      </c>
      <c r="F1764" s="1548"/>
      <c r="G1764" s="1548"/>
      <c r="H1764" s="1548"/>
      <c r="I1764" s="1548"/>
      <c r="J1764" s="1549"/>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4"/>
      <c r="AH1764" s="30"/>
      <c r="AI1764" s="30"/>
      <c r="AJ1764" s="504"/>
      <c r="AK1764" s="504"/>
      <c r="AL1764" s="342"/>
      <c r="AM1764" s="27" t="s">
        <v>308</v>
      </c>
      <c r="AN1764" s="505"/>
      <c r="AO1764" s="505"/>
      <c r="AP1764" s="30"/>
      <c r="AQ1764" s="30"/>
      <c r="AR1764" s="30"/>
      <c r="AS1764" s="30"/>
      <c r="AT1764" s="30"/>
      <c r="AU1764" s="30"/>
      <c r="AV1764" s="27" t="s">
        <v>315</v>
      </c>
      <c r="AW1764" s="30"/>
      <c r="AX1764" s="492"/>
      <c r="AY1764" s="30"/>
      <c r="AZ1764" s="30"/>
      <c r="BA1764" s="30"/>
      <c r="BB1764" s="27" t="s">
        <v>219</v>
      </c>
      <c r="BC1764" s="30"/>
      <c r="BD1764" s="30"/>
      <c r="BE1764" s="30"/>
      <c r="BF1764" s="30"/>
      <c r="BG1764" s="27"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0"/>
      <c r="BZ1764" s="30"/>
    </row>
    <row r="1765" spans="1:78" s="142" customFormat="1" ht="5.0999999999999996" hidden="1" customHeight="1">
      <c r="A1765" s="808"/>
      <c r="B1765" s="166"/>
      <c r="C1765" s="166"/>
      <c r="D1765" s="166"/>
      <c r="E1765" s="166"/>
      <c r="F1765" s="166"/>
      <c r="G1765" s="166"/>
      <c r="M1765" s="143"/>
      <c r="N1765" s="143"/>
      <c r="O1765" s="733"/>
      <c r="P1765" s="33"/>
      <c r="Q1765" s="33"/>
      <c r="R1765" s="33"/>
      <c r="S1765" s="23"/>
      <c r="T1765" s="23"/>
      <c r="U1765" s="23"/>
      <c r="V1765" s="78"/>
      <c r="W1765" s="30"/>
      <c r="X1765" s="30"/>
      <c r="Y1765" s="494"/>
      <c r="Z1765" s="30"/>
      <c r="AA1765" s="30"/>
      <c r="AB1765" s="30"/>
      <c r="AC1765" s="30"/>
      <c r="AD1765" s="30"/>
      <c r="AE1765" s="30"/>
      <c r="AF1765" s="58"/>
      <c r="AG1765" s="30"/>
      <c r="AH1765" s="30"/>
      <c r="AI1765" s="30"/>
      <c r="AJ1765" s="504"/>
      <c r="AK1765" s="504"/>
      <c r="AL1765" s="342"/>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hidden="1" customHeight="1" thickBot="1">
      <c r="A1766" s="808"/>
      <c r="B1766" s="166"/>
      <c r="C1766" s="166"/>
      <c r="D1766" s="166"/>
      <c r="E1766" s="1550" t="str">
        <f>IF(E1763="","",IF(T1764=TRUE,HYPERLINK("#JUMP_14",EUconst_MsgGoOnPFC),HYPERLINK("#JUMP_E_8",EUconst_FurtherGuidancePoint1)))</f>
        <v/>
      </c>
      <c r="F1766" s="1550"/>
      <c r="G1766" s="1550"/>
      <c r="H1766" s="1550"/>
      <c r="I1766" s="1550"/>
      <c r="J1766" s="1550"/>
      <c r="K1766" s="1550"/>
      <c r="L1766" s="1550"/>
      <c r="M1766" s="1550"/>
      <c r="N1766" s="143"/>
      <c r="O1766" s="733"/>
      <c r="P1766" s="33"/>
      <c r="Q1766" s="352" t="str">
        <f>EUconst_SumNonSustBioCO2 &amp; "_" &amp; K1763</f>
        <v>SUM_bioNonSustCO2_</v>
      </c>
      <c r="R1766" s="707"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4"/>
      <c r="AK1766" s="504"/>
      <c r="AL1766" s="342"/>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4.5" hidden="1" customHeight="1">
      <c r="A1767" s="808"/>
      <c r="B1767" s="166"/>
      <c r="C1767" s="166"/>
      <c r="D1767" s="166"/>
      <c r="E1767" s="166"/>
      <c r="F1767" s="166"/>
      <c r="G1767" s="166"/>
      <c r="M1767" s="143"/>
      <c r="N1767" s="143"/>
      <c r="O1767" s="733"/>
      <c r="P1767" s="23"/>
      <c r="Q1767" s="23"/>
      <c r="R1767" s="23"/>
      <c r="S1767" s="23"/>
      <c r="T1767" s="23"/>
      <c r="U1767" s="23"/>
      <c r="V1767" s="30"/>
      <c r="W1767" s="30"/>
      <c r="X1767" s="30"/>
      <c r="Y1767" s="494"/>
      <c r="Z1767" s="30"/>
      <c r="AA1767" s="30"/>
      <c r="AB1767" s="30"/>
      <c r="AC1767" s="30"/>
      <c r="AD1767" s="30"/>
      <c r="AE1767" s="30"/>
      <c r="AF1767" s="58"/>
      <c r="AG1767" s="30"/>
      <c r="AH1767" s="30"/>
      <c r="AI1767" s="30"/>
      <c r="AJ1767" s="504"/>
      <c r="AK1767" s="504"/>
      <c r="AL1767" s="342"/>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hidden="1" customHeight="1" thickBot="1">
      <c r="A1768" s="808"/>
      <c r="B1768" s="166"/>
      <c r="C1768" s="814" t="s">
        <v>4</v>
      </c>
      <c r="D1768" s="512" t="str">
        <f>Translations!$B$622</f>
        <v>VD:</v>
      </c>
      <c r="E1768" s="1560" t="str">
        <f>Translations!$B$667</f>
        <v>Ar veiklos duomenys gaunami sudedant išmatuotus kiekius (t. y. ne atliekant nuolatinius matavimus)?</v>
      </c>
      <c r="F1768" s="1560"/>
      <c r="G1768" s="1560"/>
      <c r="H1768" s="1560"/>
      <c r="I1768" s="1560"/>
      <c r="J1768" s="1560"/>
      <c r="K1768" s="1560"/>
      <c r="L1768" s="1179"/>
      <c r="M1768" s="507"/>
      <c r="O1768" s="733"/>
      <c r="P1768" s="23"/>
      <c r="Q1768" s="23"/>
      <c r="R1768" s="23"/>
      <c r="S1768" s="23"/>
      <c r="T1768" s="23"/>
      <c r="U1768" s="23"/>
      <c r="V1768" s="30"/>
      <c r="W1768" s="30"/>
      <c r="X1768" s="30"/>
      <c r="Y1768" s="494"/>
      <c r="Z1768" s="30"/>
      <c r="AA1768" s="30"/>
      <c r="AB1768" s="30"/>
      <c r="AC1768" s="1172" t="b">
        <f>AND(E1763&lt;&gt;"",T1764&lt;&gt;TRUE)</f>
        <v>0</v>
      </c>
      <c r="AD1768" s="30"/>
      <c r="AE1768" s="30"/>
      <c r="AF1768" s="58"/>
      <c r="AG1768" s="30"/>
      <c r="AH1768" s="30"/>
      <c r="AI1768" s="30"/>
      <c r="AJ1768" s="504"/>
      <c r="AK1768" s="504"/>
      <c r="AL1768" s="342"/>
      <c r="AM1768" s="30"/>
      <c r="AN1768" s="30"/>
      <c r="AO1768" s="30"/>
      <c r="AP1768" s="30"/>
      <c r="AQ1768" s="30"/>
      <c r="AR1768" s="30"/>
      <c r="AS1768" s="30"/>
      <c r="AT1768" s="1172"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2" t="b">
        <f>OR(CNTR_CalcRelevant=EUconst_NotRelevant,AND(COUNTA(CNTR_ListRelevantSections)&gt;0,OR(T1764=TRUE,E1763="")))</f>
        <v>1</v>
      </c>
    </row>
    <row r="1769" spans="1:78" s="142" customFormat="1" ht="4.5" hidden="1" customHeight="1">
      <c r="A1769" s="808"/>
      <c r="B1769" s="166"/>
      <c r="C1769" s="166"/>
      <c r="D1769" s="166"/>
      <c r="E1769" s="166"/>
      <c r="F1769" s="166"/>
      <c r="G1769" s="166"/>
      <c r="H1769" s="495"/>
      <c r="I1769" s="495"/>
      <c r="J1769" s="495"/>
      <c r="K1769" s="495"/>
      <c r="L1769" s="495"/>
      <c r="M1769" s="507"/>
      <c r="O1769" s="733"/>
      <c r="P1769" s="23"/>
      <c r="Q1769" s="23"/>
      <c r="R1769" s="23"/>
      <c r="S1769" s="23"/>
      <c r="T1769" s="23"/>
      <c r="U1769" s="23"/>
      <c r="V1769" s="30"/>
      <c r="W1769" s="30"/>
      <c r="X1769" s="30"/>
      <c r="Y1769" s="494"/>
      <c r="Z1769" s="30"/>
      <c r="AA1769" s="30"/>
      <c r="AB1769" s="30"/>
      <c r="AC1769" s="492"/>
      <c r="AD1769" s="30"/>
      <c r="AE1769" s="30"/>
      <c r="AF1769" s="58"/>
      <c r="AG1769" s="30"/>
      <c r="AH1769" s="30"/>
      <c r="AI1769" s="30"/>
      <c r="AJ1769" s="504"/>
      <c r="AK1769" s="504"/>
      <c r="AL1769" s="342"/>
      <c r="AM1769" s="30"/>
      <c r="AN1769" s="30"/>
      <c r="AO1769" s="30"/>
      <c r="AP1769" s="30"/>
      <c r="AQ1769" s="30"/>
      <c r="AR1769" s="30"/>
      <c r="AS1769" s="30"/>
      <c r="AT1769" s="492"/>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2"/>
    </row>
    <row r="1770" spans="1:78" s="142" customFormat="1" ht="12.75" hidden="1" customHeight="1" thickBot="1">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3"/>
      <c r="Q1770" s="23"/>
      <c r="R1770" s="23"/>
      <c r="S1770" s="23"/>
      <c r="T1770" s="23"/>
      <c r="U1770" s="23"/>
      <c r="V1770" s="30"/>
      <c r="W1770" s="30"/>
      <c r="X1770" s="30"/>
      <c r="Y1770" s="494"/>
      <c r="Z1770" s="30"/>
      <c r="AA1770" s="30"/>
      <c r="AB1770" s="30"/>
      <c r="AC1770" s="1172" t="b">
        <f>AC1768</f>
        <v>0</v>
      </c>
      <c r="AD1770" s="30"/>
      <c r="AE1770" s="30"/>
      <c r="AF1770" s="58"/>
      <c r="AG1770" s="30"/>
      <c r="AH1770" s="30"/>
      <c r="AI1770" s="30"/>
      <c r="AJ1770" s="504"/>
      <c r="AK1770" s="504"/>
      <c r="AL1770" s="342"/>
      <c r="AM1770" s="30"/>
      <c r="AN1770" s="30"/>
      <c r="AO1770" s="30"/>
      <c r="AP1770" s="30"/>
      <c r="AQ1770" s="30"/>
      <c r="AR1770" s="30"/>
      <c r="AS1770" s="30"/>
      <c r="AT1770" s="1172"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2" t="b">
        <f>OR(BZ1768,AND(NOT(ISBLANK(L1768)),L1768=FALSE))</f>
        <v>1</v>
      </c>
    </row>
    <row r="1771" spans="1:78" s="142" customFormat="1" ht="4.5" hidden="1" customHeight="1">
      <c r="A1771" s="808"/>
      <c r="B1771" s="166"/>
      <c r="C1771" s="166"/>
      <c r="D1771" s="166"/>
      <c r="E1771" s="166"/>
      <c r="F1771" s="166"/>
      <c r="G1771" s="166"/>
      <c r="M1771" s="143"/>
      <c r="N1771" s="143"/>
      <c r="O1771" s="733"/>
      <c r="P1771" s="23"/>
      <c r="Q1771" s="23"/>
      <c r="R1771" s="23"/>
      <c r="S1771" s="23"/>
      <c r="T1771" s="23"/>
      <c r="U1771" s="23"/>
      <c r="V1771" s="30"/>
      <c r="W1771" s="30"/>
      <c r="X1771" s="30"/>
      <c r="Y1771" s="494"/>
      <c r="Z1771" s="30"/>
      <c r="AA1771" s="30"/>
      <c r="AB1771" s="30"/>
      <c r="AC1771" s="30"/>
      <c r="AD1771" s="30"/>
      <c r="AE1771" s="30"/>
      <c r="AF1771" s="58"/>
      <c r="AG1771" s="30"/>
      <c r="AH1771" s="30"/>
      <c r="AI1771" s="30"/>
      <c r="AJ1771" s="504"/>
      <c r="AK1771" s="504"/>
      <c r="AL1771" s="342"/>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2.25" hidden="1" customHeight="1" thickBot="1">
      <c r="A1772" s="808"/>
      <c r="B1772" s="166"/>
      <c r="C1772" s="166"/>
      <c r="D1772" s="166"/>
      <c r="E1772" s="166"/>
      <c r="F1772" s="506" t="str">
        <f>Translations!$B$333</f>
        <v>Pakopa</v>
      </c>
      <c r="G1772" s="1557" t="str">
        <f>Translations!$B$672</f>
        <v>pakopos aprašas</v>
      </c>
      <c r="H1772" s="1557"/>
      <c r="I1772" s="1555" t="str">
        <f>Translations!$B$158</f>
        <v>Vienetas</v>
      </c>
      <c r="J1772" s="1555"/>
      <c r="K1772" s="1555" t="str">
        <f>Translations!$B$673</f>
        <v>Vertė</v>
      </c>
      <c r="L1772" s="1555"/>
      <c r="M1772" s="507" t="str">
        <f>Translations!$B$610</f>
        <v>klaida</v>
      </c>
      <c r="O1772" s="733"/>
      <c r="P1772" s="508"/>
      <c r="Q1772" s="352" t="str">
        <f>EUconst_SumEnergyIN &amp; "_" &amp; K1763</f>
        <v>SUM_EnergyIN_</v>
      </c>
      <c r="R1772" s="399" t="str">
        <f>IF(OR(K1763="",T1764)=TRUE,"",INDEX(BC1778:BE1778,MATCH(K1763,BC1773:BE1773,0)))</f>
        <v/>
      </c>
      <c r="S1772" s="30"/>
      <c r="T1772" s="489"/>
      <c r="U1772" s="30"/>
      <c r="V1772" s="509" t="s">
        <v>303</v>
      </c>
      <c r="W1772" s="30"/>
      <c r="X1772" s="30"/>
      <c r="Y1772" s="494" t="s">
        <v>566</v>
      </c>
      <c r="Z1772" s="494" t="s">
        <v>318</v>
      </c>
      <c r="AA1772" s="30"/>
      <c r="AB1772" s="30"/>
      <c r="AC1772" s="505" t="s">
        <v>309</v>
      </c>
      <c r="AD1772" s="30"/>
      <c r="AE1772" s="30"/>
      <c r="AF1772" s="492" t="s">
        <v>305</v>
      </c>
      <c r="AG1772" s="492" t="s">
        <v>306</v>
      </c>
      <c r="AH1772" s="494" t="s">
        <v>304</v>
      </c>
      <c r="AI1772" s="504" t="s">
        <v>307</v>
      </c>
      <c r="AJ1772" s="504" t="s">
        <v>567</v>
      </c>
      <c r="AK1772" s="510" t="s">
        <v>311</v>
      </c>
      <c r="AL1772" s="342"/>
      <c r="AM1772" s="30"/>
      <c r="AN1772" s="492" t="s">
        <v>305</v>
      </c>
      <c r="AO1772" s="492" t="s">
        <v>306</v>
      </c>
      <c r="AP1772" s="511" t="s">
        <v>310</v>
      </c>
      <c r="AQ1772" s="504" t="s">
        <v>569</v>
      </c>
      <c r="AR1772" s="504" t="s">
        <v>568</v>
      </c>
      <c r="AS1772" s="510" t="s">
        <v>609</v>
      </c>
      <c r="AT1772" s="510" t="s">
        <v>609</v>
      </c>
      <c r="AU1772" s="30"/>
      <c r="AV1772" s="492"/>
      <c r="AW1772" s="492"/>
      <c r="AX1772" s="492" t="s">
        <v>321</v>
      </c>
      <c r="AY1772" s="492"/>
      <c r="AZ1772" s="492"/>
      <c r="BA1772" s="492"/>
      <c r="BB1772" s="492"/>
      <c r="BC1772" s="492"/>
      <c r="BD1772" s="492"/>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3" t="s">
        <v>262</v>
      </c>
    </row>
    <row r="1773" spans="1:78" s="142" customFormat="1" ht="12.75" hidden="1" customHeight="1" thickBot="1">
      <c r="A1773" s="808"/>
      <c r="B1773" s="166"/>
      <c r="C1773" s="777" t="s">
        <v>196</v>
      </c>
      <c r="D1773" s="512" t="str">
        <f>Translations!$B$622</f>
        <v>VD:</v>
      </c>
      <c r="E1773" s="513"/>
      <c r="F1773" s="402"/>
      <c r="G1773" s="1532" t="str">
        <f>IF(OR(ISBLANK(F1773),F1773=EUconst_NoTier),"",IF(Z1773=0,EUconst_NA,IF(ISERROR(Z1773),"",Z1773)))</f>
        <v/>
      </c>
      <c r="H1773" s="1533"/>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0"/>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0"/>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0"/>
      <c r="AV1773" s="492" t="s">
        <v>314</v>
      </c>
      <c r="AW1773" s="492" t="s">
        <v>319</v>
      </c>
      <c r="AX1773" s="524"/>
      <c r="AY1773" s="30" t="s">
        <v>542</v>
      </c>
      <c r="AZ1773" s="30"/>
      <c r="BA1773" s="30"/>
      <c r="BB1773" s="504"/>
      <c r="BC1773" s="493" t="str">
        <f>EUconst_Fuel</f>
        <v>Degimas</v>
      </c>
      <c r="BD1773" s="493" t="str">
        <f>EUconst_ProcessCarbonate</f>
        <v>Proceso metu išsiskiriančios ŠESD</v>
      </c>
      <c r="BE1773" s="493"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4" t="b">
        <f>BZ1768</f>
        <v>1</v>
      </c>
    </row>
    <row r="1774" spans="1:78" s="142" customFormat="1" ht="5.0999999999999996" hidden="1" customHeight="1">
      <c r="A1774" s="808"/>
      <c r="B1774" s="166"/>
      <c r="C1774" s="814"/>
      <c r="D1774" s="306"/>
      <c r="F1774" s="143"/>
      <c r="G1774" s="143"/>
      <c r="H1774" s="143" t="s">
        <v>236</v>
      </c>
      <c r="I1774" s="525"/>
      <c r="J1774" s="525"/>
      <c r="K1774" s="143"/>
      <c r="L1774" s="143"/>
      <c r="M1774" s="710"/>
      <c r="O1774" s="733"/>
      <c r="P1774" s="33"/>
      <c r="Q1774" s="33"/>
      <c r="R1774" s="33"/>
      <c r="S1774" s="30"/>
      <c r="T1774" s="155"/>
      <c r="U1774" s="497"/>
      <c r="V1774" s="30"/>
      <c r="W1774" s="30"/>
      <c r="X1774" s="497"/>
      <c r="Y1774" s="526"/>
      <c r="Z1774" s="30"/>
      <c r="AA1774" s="30"/>
      <c r="AB1774" s="30"/>
      <c r="AC1774" s="30"/>
      <c r="AD1774" s="30"/>
      <c r="AE1774" s="30"/>
      <c r="AF1774" s="30"/>
      <c r="AG1774" s="30"/>
      <c r="AH1774" s="30"/>
      <c r="AI1774" s="30"/>
      <c r="AJ1774" s="30"/>
      <c r="AK1774" s="30"/>
      <c r="AL1774" s="342"/>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3"/>
    </row>
    <row r="1775" spans="1:78" s="142" customFormat="1" ht="12.75" hidden="1" customHeight="1" thickBot="1">
      <c r="A1775" s="808"/>
      <c r="B1775" s="166"/>
      <c r="C1775" s="814" t="s">
        <v>197</v>
      </c>
      <c r="D1775" s="512" t="str">
        <f>Translations!$B$634</f>
        <v>(prelim.) ITF:</v>
      </c>
      <c r="E1775" s="513"/>
      <c r="F1775" s="527"/>
      <c r="G1775" s="1532" t="str">
        <f t="shared" ref="G1775:G1781" si="441">IF(OR(ISBLANK(F1775),F1775=EUconst_NoTier),"",IF(Z1775=0,EUconst_NotApplicable,IF(ISERROR(Z1775),"",Z1775)))</f>
        <v/>
      </c>
      <c r="H1775" s="1556"/>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3"/>
      <c r="Q1775" s="33"/>
      <c r="R1775" s="33"/>
      <c r="S1775" s="30"/>
      <c r="T1775" s="530" t="str">
        <f>EUconst_CNTR_EF&amp;E1764</f>
        <v>EF_</v>
      </c>
      <c r="U1775" s="497"/>
      <c r="V1775" s="531" t="str">
        <f>V1773</f>
        <v/>
      </c>
      <c r="W1775" s="30"/>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0"/>
      <c r="AC1775" s="535" t="b">
        <f>AND(AC1773,Y1775&lt;&gt;EUconst_NA)</f>
        <v>0</v>
      </c>
      <c r="AD1775" s="30"/>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0"/>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0"/>
      <c r="BA1775" s="30"/>
      <c r="BB1775" s="547" t="s">
        <v>594</v>
      </c>
      <c r="BC1775" s="546" t="str">
        <f>IF(K1763=BC1773,AR1773*IF(AJ1775=EUconst_tCO2pTJ,(AR1776/1000),1)*AR1775*AR1777*AR1781,"")</f>
        <v/>
      </c>
      <c r="BD1775" s="524" t="str">
        <f>IF(K1763=BD1773,AR1773*AR1775*AR1778*AR1781,"")</f>
        <v/>
      </c>
      <c r="BE1775" s="523"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1" t="b">
        <f>OR(BZ1773,Y1775=EUconst_NA)</f>
        <v>1</v>
      </c>
    </row>
    <row r="1776" spans="1:78" s="142" customFormat="1" ht="12.75" hidden="1" customHeight="1" thickBot="1">
      <c r="A1776" s="808"/>
      <c r="B1776" s="166"/>
      <c r="C1776" s="814" t="s">
        <v>198</v>
      </c>
      <c r="D1776" s="512" t="str">
        <f>Translations!$B$636</f>
        <v>GŠV:</v>
      </c>
      <c r="E1776" s="513"/>
      <c r="F1776" s="548"/>
      <c r="G1776" s="1532" t="str">
        <f t="shared" si="441"/>
        <v/>
      </c>
      <c r="H1776" s="1533"/>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3"/>
      <c r="Q1776" s="33"/>
      <c r="R1776" s="33"/>
      <c r="S1776" s="30"/>
      <c r="T1776" s="552" t="str">
        <f>EUconst_CNTR_NCV&amp;E1764</f>
        <v>NCV_</v>
      </c>
      <c r="U1776" s="497"/>
      <c r="V1776" s="553" t="str">
        <f t="shared" ref="V1776:V1781" si="447">V1775</f>
        <v/>
      </c>
      <c r="W1776" s="30"/>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0"/>
      <c r="AC1776" s="557" t="b">
        <f>AND(AC1773,Y1776&lt;&gt;EUconst_NA)</f>
        <v>0</v>
      </c>
      <c r="AD1776" s="30"/>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0"/>
      <c r="AV1776" s="567" t="b">
        <f t="shared" si="444"/>
        <v>0</v>
      </c>
      <c r="AW1776" s="568" t="b">
        <f t="shared" si="445"/>
        <v>0</v>
      </c>
      <c r="AX1776" s="30"/>
      <c r="AY1776" s="553" t="b">
        <f t="shared" si="446"/>
        <v>0</v>
      </c>
      <c r="AZ1776" s="30"/>
      <c r="BA1776" s="30"/>
      <c r="BB1776" s="547" t="s">
        <v>595</v>
      </c>
      <c r="BC1776" s="546" t="str">
        <f>IF(K1763=BC1773,AR1773*IF(AJ1775=EUconst_tCO2pTJ,(AR1776/1000),1)*AR1775*AR1777*AR1780,"")</f>
        <v/>
      </c>
      <c r="BD1776" s="524" t="str">
        <f>IF(K1763=BD1773,AR1773*AR1775*AR1778*AR1780,"")</f>
        <v/>
      </c>
      <c r="BE1776" s="523"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3" t="b">
        <f>OR(BZ1773,Y1776=EUconst_NA)</f>
        <v>1</v>
      </c>
    </row>
    <row r="1777" spans="1:78" s="142" customFormat="1" ht="12.75" hidden="1" customHeight="1" thickBot="1">
      <c r="A1777" s="808"/>
      <c r="B1777" s="166"/>
      <c r="C1777" s="814" t="s">
        <v>199</v>
      </c>
      <c r="D1777" s="512" t="str">
        <f>Translations!$B$638</f>
        <v>OksK:</v>
      </c>
      <c r="E1777" s="513"/>
      <c r="F1777" s="548"/>
      <c r="G1777" s="1532" t="str">
        <f t="shared" si="441"/>
        <v/>
      </c>
      <c r="H1777" s="1533"/>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3"/>
      <c r="Q1777" s="33"/>
      <c r="R1777" s="33"/>
      <c r="S1777" s="30"/>
      <c r="T1777" s="552" t="str">
        <f>EUconst_CNTR_OxidationFactor&amp;E1764</f>
        <v>OxF_</v>
      </c>
      <c r="U1777" s="497"/>
      <c r="V1777" s="553" t="str">
        <f t="shared" si="447"/>
        <v/>
      </c>
      <c r="W1777" s="30"/>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0"/>
      <c r="AC1777" s="557" t="b">
        <f>AND(AC1773,Y1777&lt;&gt;EUconst_NA)</f>
        <v>0</v>
      </c>
      <c r="AD1777" s="30"/>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0"/>
      <c r="AV1777" s="567" t="b">
        <f t="shared" si="444"/>
        <v>0</v>
      </c>
      <c r="AW1777" s="568" t="b">
        <f t="shared" si="445"/>
        <v>0</v>
      </c>
      <c r="AX1777" s="30"/>
      <c r="AY1777" s="594" t="b">
        <f t="shared" si="446"/>
        <v>0</v>
      </c>
      <c r="AZ1777" s="531" t="b">
        <f>AR1777&gt;100%</f>
        <v>0</v>
      </c>
      <c r="BA1777" s="30"/>
      <c r="BB1777" s="547" t="s">
        <v>290</v>
      </c>
      <c r="BC1777" s="546" t="str">
        <f>IF(K1763=BC1773,AR1773*IF(AJ1775=EUconst_tCO2pTJ,(AR1776/1000),1)*AR1775*AR1777*(1-AR1780),"")</f>
        <v/>
      </c>
      <c r="BD1777" s="524" t="str">
        <f>IF(K1763=BD1773,AR1773*AR1775*AR1778*(1-AR1780),"")</f>
        <v/>
      </c>
      <c r="BE1777" s="523"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3" t="b">
        <f>OR(BZ1773,Y1777=EUconst_NA)</f>
        <v>1</v>
      </c>
    </row>
    <row r="1778" spans="1:78" s="142" customFormat="1" ht="12.75" hidden="1" customHeight="1" thickBot="1">
      <c r="A1778" s="808"/>
      <c r="B1778" s="166"/>
      <c r="C1778" s="814" t="s">
        <v>200</v>
      </c>
      <c r="D1778" s="512" t="str">
        <f>Translations!$B$639</f>
        <v>KonvK:</v>
      </c>
      <c r="E1778" s="513"/>
      <c r="F1778" s="548"/>
      <c r="G1778" s="1532" t="str">
        <f t="shared" si="441"/>
        <v/>
      </c>
      <c r="H1778" s="1533"/>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3"/>
      <c r="Q1778" s="33"/>
      <c r="R1778" s="33"/>
      <c r="S1778" s="30"/>
      <c r="T1778" s="552" t="str">
        <f>EUconst_CNTR_ConversionFactor&amp;E1764</f>
        <v>ConvF_</v>
      </c>
      <c r="U1778" s="497"/>
      <c r="V1778" s="553" t="str">
        <f t="shared" si="447"/>
        <v/>
      </c>
      <c r="W1778" s="30"/>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0"/>
      <c r="AC1778" s="557" t="b">
        <f>AND(AC1773,Y1778&lt;&gt;EUconst_NA)</f>
        <v>0</v>
      </c>
      <c r="AD1778" s="30"/>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0"/>
      <c r="AV1778" s="567" t="b">
        <f t="shared" si="444"/>
        <v>0</v>
      </c>
      <c r="AW1778" s="568" t="b">
        <f t="shared" si="445"/>
        <v>0</v>
      </c>
      <c r="AX1778" s="30"/>
      <c r="AY1778" s="594" t="b">
        <f t="shared" si="446"/>
        <v>0</v>
      </c>
      <c r="AZ1778" s="580" t="b">
        <f>AR1778&gt;100%</f>
        <v>0</v>
      </c>
      <c r="BA1778" s="30"/>
      <c r="BB1778" s="578" t="s">
        <v>487</v>
      </c>
      <c r="BC1778" s="579">
        <f>AR1773*AR1776/1000*(1-AR1780)</f>
        <v>0</v>
      </c>
      <c r="BD1778" s="580">
        <f>BC1778</f>
        <v>0</v>
      </c>
      <c r="BE1778" s="581">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3" t="b">
        <f>OR(BZ1773,Y1778=EUconst_NA)</f>
        <v>1</v>
      </c>
    </row>
    <row r="1779" spans="1:78" s="142" customFormat="1" ht="12.75" hidden="1" customHeight="1" thickBot="1">
      <c r="A1779" s="808"/>
      <c r="B1779" s="166"/>
      <c r="C1779" s="814" t="s">
        <v>329</v>
      </c>
      <c r="D1779" s="512" t="str">
        <f>Translations!$B$640</f>
        <v>AnglK:</v>
      </c>
      <c r="E1779" s="513"/>
      <c r="F1779" s="548"/>
      <c r="G1779" s="1532" t="str">
        <f t="shared" si="441"/>
        <v/>
      </c>
      <c r="H1779" s="1533"/>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3"/>
      <c r="Q1779" s="33"/>
      <c r="R1779" s="33"/>
      <c r="S1779" s="30"/>
      <c r="T1779" s="552" t="str">
        <f>EUconst_CNTR_CarbonContent&amp;E1764</f>
        <v>CarbC_</v>
      </c>
      <c r="U1779" s="497"/>
      <c r="V1779" s="553" t="str">
        <f t="shared" si="447"/>
        <v/>
      </c>
      <c r="W1779" s="30"/>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0"/>
      <c r="AC1779" s="557" t="b">
        <f>AND(AC1773,Y1779&lt;&gt;EUconst_NA)</f>
        <v>0</v>
      </c>
      <c r="AD1779" s="30"/>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0"/>
      <c r="AV1779" s="567" t="b">
        <f t="shared" si="444"/>
        <v>0</v>
      </c>
      <c r="AW1779" s="568" t="b">
        <f t="shared" si="445"/>
        <v>0</v>
      </c>
      <c r="AX1779" s="546" t="b">
        <f>OR(AND(AJ1773=EUconst_kNm3,AJ1779=EUconst_tCpt),AND(AJ1773=EUconst_t,AJ1779=EUconst_tCpkNm3))</f>
        <v>0</v>
      </c>
      <c r="AY1779" s="553" t="b">
        <f t="shared" si="446"/>
        <v>0</v>
      </c>
      <c r="AZ1779" s="30"/>
      <c r="BA1779" s="30"/>
      <c r="BB1779" s="578" t="s">
        <v>488</v>
      </c>
      <c r="BC1779" s="579">
        <f>AR1773*AR1776/1000*AR1780</f>
        <v>0</v>
      </c>
      <c r="BD1779" s="580">
        <f>BC1779</f>
        <v>0</v>
      </c>
      <c r="BE1779" s="581">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3" t="b">
        <f>OR(BZ1773,Y1779=EUconst_NA)</f>
        <v>1</v>
      </c>
    </row>
    <row r="1780" spans="1:78" s="142" customFormat="1" ht="12.75" hidden="1" customHeight="1">
      <c r="A1780" s="808"/>
      <c r="B1780" s="166"/>
      <c r="C1780" s="777" t="s">
        <v>330</v>
      </c>
      <c r="D1780" s="512" t="str">
        <f>Translations!$B$641</f>
        <v>BioC:</v>
      </c>
      <c r="E1780" s="513"/>
      <c r="F1780" s="548"/>
      <c r="G1780" s="1532" t="str">
        <f t="shared" si="441"/>
        <v/>
      </c>
      <c r="H1780" s="1533"/>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0"/>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0"/>
      <c r="AC1780" s="557" t="b">
        <f>AND(AC1773,Y1780&lt;&gt;EUconst_NA)</f>
        <v>0</v>
      </c>
      <c r="AD1780" s="30"/>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0"/>
      <c r="AV1780" s="567" t="b">
        <f t="shared" si="444"/>
        <v>0</v>
      </c>
      <c r="AW1780" s="568" t="b">
        <f t="shared" si="445"/>
        <v>0</v>
      </c>
      <c r="AX1780" s="30"/>
      <c r="AY1780" s="594" t="b">
        <f t="shared" si="446"/>
        <v>0</v>
      </c>
      <c r="AZ1780" s="531"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3" t="b">
        <f>OR(BZ1773,Y1780=EUconst_NA)</f>
        <v>1</v>
      </c>
    </row>
    <row r="1781" spans="1:78" s="142" customFormat="1" ht="12.75" hidden="1" customHeight="1" thickBot="1">
      <c r="A1781" s="808"/>
      <c r="B1781" s="166"/>
      <c r="C1781" s="777" t="s">
        <v>454</v>
      </c>
      <c r="D1781" s="512" t="str">
        <f>Translations!$B$647</f>
        <v>Netvar. BioC:</v>
      </c>
      <c r="E1781" s="513"/>
      <c r="F1781" s="597"/>
      <c r="G1781" s="1532" t="str">
        <f t="shared" si="441"/>
        <v/>
      </c>
      <c r="H1781" s="1533"/>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0"/>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0"/>
      <c r="AC1781" s="603" t="b">
        <f>AND(AC1773,Y1781&lt;&gt;EUconst_NA)</f>
        <v>0</v>
      </c>
      <c r="AD1781" s="30"/>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0"/>
      <c r="AV1781" s="613" t="b">
        <f t="shared" si="444"/>
        <v>0</v>
      </c>
      <c r="AW1781" s="614" t="b">
        <f t="shared" si="445"/>
        <v>0</v>
      </c>
      <c r="AX1781" s="30"/>
      <c r="AY1781" s="579" t="b">
        <f t="shared" si="446"/>
        <v>0</v>
      </c>
      <c r="AZ1781" s="580"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80" t="b">
        <f>OR(BZ1773,Y1781=EUconst_NA)</f>
        <v>1</v>
      </c>
    </row>
    <row r="1782" spans="1:78" s="142" customFormat="1" ht="5.0999999999999996" hidden="1" customHeight="1">
      <c r="A1782" s="808"/>
      <c r="B1782" s="166"/>
      <c r="C1782" s="166"/>
      <c r="D1782" s="180"/>
      <c r="O1782" s="733"/>
      <c r="P1782" s="33"/>
      <c r="Q1782" s="33"/>
      <c r="R1782" s="33"/>
      <c r="S1782" s="174"/>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hidden="1" customHeight="1">
      <c r="A1783" s="808"/>
      <c r="B1783" s="166"/>
      <c r="C1783" s="166"/>
      <c r="D1783" s="1558" t="str">
        <f>Translations!$B$674</f>
        <v>Pakopos galioja nuo:</v>
      </c>
      <c r="E1783" s="1558"/>
      <c r="F1783" s="1559"/>
      <c r="G1783" s="1052"/>
      <c r="H1783" s="615" t="str">
        <f>Translations!$B$675</f>
        <v>iki:</v>
      </c>
      <c r="I1783" s="1052"/>
      <c r="J1783" s="1536" t="str">
        <f>Translations!$B$676</f>
        <v>Atliekų katalogo numeris (jeigu taikytina):</v>
      </c>
      <c r="K1783" s="1537"/>
      <c r="L1783" s="1537"/>
      <c r="M1783" s="1538"/>
      <c r="N1783" s="1289"/>
      <c r="O1783" s="733"/>
      <c r="P1783" s="33"/>
      <c r="Q1783" s="33"/>
      <c r="R1783" s="33"/>
      <c r="S1783" s="1290"/>
      <c r="T1783" s="492"/>
      <c r="U1783" s="492"/>
      <c r="V1783" s="48" t="b">
        <f>IF(V1773="",FALSE,INDEX(CNTR_IsWaste,MATCH(V1773,MSParameters!$A$218:$A$376,0)))</f>
        <v>0</v>
      </c>
      <c r="W1783" s="1290"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hidden="1" customHeight="1">
      <c r="A1784" s="808"/>
      <c r="B1784" s="166"/>
      <c r="C1784" s="166"/>
      <c r="D1784" s="615"/>
      <c r="E1784" s="495"/>
      <c r="F1784" s="495"/>
      <c r="G1784" s="495"/>
      <c r="H1784" s="495"/>
      <c r="I1784" s="495"/>
      <c r="J1784" s="495"/>
      <c r="K1784" s="495"/>
      <c r="L1784" s="495"/>
      <c r="M1784" s="495"/>
      <c r="N1784" s="495"/>
      <c r="O1784" s="733"/>
      <c r="P1784" s="33"/>
      <c r="Q1784" s="33"/>
      <c r="R1784" s="33"/>
      <c r="S1784" s="174"/>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hidden="1" customHeight="1">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3"/>
      <c r="Q1785" s="33"/>
      <c r="R1785" s="33"/>
      <c r="S1785" s="174"/>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hidden="1" customHeight="1">
      <c r="A1786" s="815"/>
      <c r="D1786" s="180"/>
      <c r="O1786" s="573"/>
      <c r="P1786" s="497"/>
      <c r="Q1786" s="497"/>
      <c r="R1786" s="497"/>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hidden="1">
      <c r="A1787" s="815"/>
      <c r="D1787" s="1534" t="str">
        <f>Translations!$B$160</f>
        <v>Pastabos:</v>
      </c>
      <c r="E1787" s="1535"/>
      <c r="F1787" s="1539"/>
      <c r="G1787" s="1540"/>
      <c r="H1787" s="1540"/>
      <c r="I1787" s="1540"/>
      <c r="J1787" s="1540"/>
      <c r="K1787" s="1540"/>
      <c r="L1787" s="1540"/>
      <c r="M1787" s="1540"/>
      <c r="N1787" s="1541"/>
      <c r="O1787" s="573"/>
      <c r="P1787" s="497"/>
      <c r="Q1787" s="497"/>
      <c r="R1787" s="497"/>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c r="A1788" s="808"/>
      <c r="B1788" s="495"/>
      <c r="C1788" s="499"/>
      <c r="D1788" s="500"/>
      <c r="E1788" s="501"/>
      <c r="F1788" s="499"/>
      <c r="G1788" s="502"/>
      <c r="H1788" s="502"/>
      <c r="I1788" s="502"/>
      <c r="J1788" s="502"/>
      <c r="K1788" s="502"/>
      <c r="L1788" s="502"/>
      <c r="M1788" s="502"/>
      <c r="N1788" s="502"/>
      <c r="O1788" s="740"/>
      <c r="P1788" s="494"/>
      <c r="Q1788" s="494"/>
      <c r="R1788" s="494"/>
      <c r="S1788" s="58"/>
      <c r="T1788" s="58"/>
      <c r="U1788" s="498"/>
      <c r="V1788" s="58"/>
      <c r="W1788" s="58"/>
      <c r="X1788" s="498"/>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c r="A1789" s="813"/>
      <c r="B1789" s="495"/>
      <c r="C1789" s="495"/>
      <c r="D1789" s="180"/>
      <c r="E1789" s="496"/>
      <c r="F1789" s="495"/>
      <c r="G1789" s="487"/>
      <c r="H1789" s="487"/>
      <c r="I1789" s="487"/>
      <c r="J1789" s="487"/>
      <c r="K1789" s="495"/>
      <c r="L1789" s="487"/>
      <c r="M1789" s="487"/>
      <c r="N1789" s="487"/>
      <c r="O1789" s="740"/>
      <c r="P1789" s="494"/>
      <c r="Q1789" s="494"/>
      <c r="R1789" s="494"/>
      <c r="S1789" s="23"/>
      <c r="T1789" s="27" t="str">
        <f>IF(ISBLANK(E1790),"",MATCH(E1790,CNTR_SourceStreamNames,0))</f>
        <v/>
      </c>
      <c r="U1789" s="618"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1"/>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3" t="s">
        <v>262</v>
      </c>
    </row>
    <row r="1790" spans="1:78" s="142" customFormat="1" ht="15" hidden="1" customHeight="1" thickBot="1">
      <c r="A1790" s="869" t="str">
        <f>IF(E1790="","","PRINT")</f>
        <v/>
      </c>
      <c r="B1790" s="166"/>
      <c r="C1790" s="617">
        <f>C1763+1</f>
        <v>65</v>
      </c>
      <c r="D1790" s="166"/>
      <c r="E1790" s="1542"/>
      <c r="F1790" s="1543"/>
      <c r="G1790" s="1543"/>
      <c r="H1790" s="1543"/>
      <c r="I1790" s="1543"/>
      <c r="J1790" s="1544"/>
      <c r="K1790" s="1545" t="str">
        <f>IF(E1791="","",INDEX(EUwideConstants!$F$353:$F$394,MATCH(E1791,EUConst_TierActivityListNames,0)))</f>
        <v/>
      </c>
      <c r="L1790" s="1546"/>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3"/>
      <c r="T1790" s="509" t="s">
        <v>393</v>
      </c>
      <c r="U1790" s="23"/>
      <c r="V1790" s="78"/>
      <c r="W1790" s="56"/>
      <c r="X1790" s="58"/>
      <c r="Y1790" s="58"/>
      <c r="Z1790" s="58"/>
      <c r="AA1790" s="58"/>
      <c r="AB1790" s="58"/>
      <c r="AC1790" s="58"/>
      <c r="AD1790" s="58"/>
      <c r="AE1790" s="58"/>
      <c r="AF1790" s="58"/>
      <c r="AG1790" s="58"/>
      <c r="AH1790" s="58"/>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6"/>
      <c r="BZ1790" s="619" t="b">
        <f>CNTR_CalcRelevant=EUconst_NotRelevant</f>
        <v>0</v>
      </c>
    </row>
    <row r="1791" spans="1:78" s="142" customFormat="1" ht="15" hidden="1" customHeight="1" thickBot="1">
      <c r="A1791" s="808"/>
      <c r="B1791" s="166"/>
      <c r="C1791" s="166"/>
      <c r="D1791" s="166"/>
      <c r="E1791" s="1547" t="str">
        <f>IF(ISBLANK(E1790),"",IF(INDEX(B_InstallationDescription!$E$71:$E$145,MATCH(U1789,B_InstallationDescription!$D$71:$D$145,0))&gt;0,INDEX(B_InstallationDescription!$E$71:$E$145,MATCH(U1789,B_InstallationDescription!$D$71:$D$145,0)),""))</f>
        <v/>
      </c>
      <c r="F1791" s="1548"/>
      <c r="G1791" s="1548"/>
      <c r="H1791" s="1548"/>
      <c r="I1791" s="1548"/>
      <c r="J1791" s="1549"/>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4"/>
      <c r="AH1791" s="30"/>
      <c r="AI1791" s="30"/>
      <c r="AJ1791" s="504"/>
      <c r="AK1791" s="504"/>
      <c r="AL1791" s="342"/>
      <c r="AM1791" s="27" t="s">
        <v>308</v>
      </c>
      <c r="AN1791" s="505"/>
      <c r="AO1791" s="505"/>
      <c r="AP1791" s="30"/>
      <c r="AQ1791" s="30"/>
      <c r="AR1791" s="30"/>
      <c r="AS1791" s="30"/>
      <c r="AT1791" s="30"/>
      <c r="AU1791" s="30"/>
      <c r="AV1791" s="27" t="s">
        <v>315</v>
      </c>
      <c r="AW1791" s="30"/>
      <c r="AX1791" s="492"/>
      <c r="AY1791" s="30"/>
      <c r="AZ1791" s="30"/>
      <c r="BA1791" s="30"/>
      <c r="BB1791" s="27" t="s">
        <v>219</v>
      </c>
      <c r="BC1791" s="30"/>
      <c r="BD1791" s="30"/>
      <c r="BE1791" s="30"/>
      <c r="BF1791" s="30"/>
      <c r="BG1791" s="27"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0"/>
      <c r="BZ1791" s="30"/>
    </row>
    <row r="1792" spans="1:78" s="142" customFormat="1" ht="5.0999999999999996" hidden="1" customHeight="1">
      <c r="A1792" s="808"/>
      <c r="B1792" s="166"/>
      <c r="C1792" s="166"/>
      <c r="D1792" s="166"/>
      <c r="E1792" s="166"/>
      <c r="F1792" s="166"/>
      <c r="G1792" s="166"/>
      <c r="M1792" s="143"/>
      <c r="N1792" s="143"/>
      <c r="O1792" s="733"/>
      <c r="P1792" s="33"/>
      <c r="Q1792" s="33"/>
      <c r="R1792" s="33"/>
      <c r="S1792" s="23"/>
      <c r="T1792" s="23"/>
      <c r="U1792" s="23"/>
      <c r="V1792" s="78"/>
      <c r="W1792" s="30"/>
      <c r="X1792" s="30"/>
      <c r="Y1792" s="494"/>
      <c r="Z1792" s="30"/>
      <c r="AA1792" s="30"/>
      <c r="AB1792" s="30"/>
      <c r="AC1792" s="30"/>
      <c r="AD1792" s="30"/>
      <c r="AE1792" s="30"/>
      <c r="AF1792" s="58"/>
      <c r="AG1792" s="30"/>
      <c r="AH1792" s="30"/>
      <c r="AI1792" s="30"/>
      <c r="AJ1792" s="504"/>
      <c r="AK1792" s="504"/>
      <c r="AL1792" s="342"/>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hidden="1" customHeight="1" thickBot="1">
      <c r="A1793" s="808"/>
      <c r="B1793" s="166"/>
      <c r="C1793" s="166"/>
      <c r="D1793" s="166"/>
      <c r="E1793" s="1550" t="str">
        <f>IF(E1790="","",IF(T1791=TRUE,HYPERLINK("#JUMP_14",EUconst_MsgGoOnPFC),HYPERLINK("#JUMP_E_8",EUconst_FurtherGuidancePoint1)))</f>
        <v/>
      </c>
      <c r="F1793" s="1550"/>
      <c r="G1793" s="1550"/>
      <c r="H1793" s="1550"/>
      <c r="I1793" s="1550"/>
      <c r="J1793" s="1550"/>
      <c r="K1793" s="1550"/>
      <c r="L1793" s="1550"/>
      <c r="M1793" s="1550"/>
      <c r="N1793" s="143"/>
      <c r="O1793" s="733"/>
      <c r="P1793" s="33"/>
      <c r="Q1793" s="352" t="str">
        <f>EUconst_SumNonSustBioCO2 &amp; "_" &amp; K1790</f>
        <v>SUM_bioNonSustCO2_</v>
      </c>
      <c r="R1793" s="707"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4"/>
      <c r="AK1793" s="504"/>
      <c r="AL1793" s="342"/>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hidden="1" customHeight="1">
      <c r="A1794" s="808"/>
      <c r="B1794" s="166"/>
      <c r="C1794" s="166"/>
      <c r="D1794" s="166"/>
      <c r="E1794" s="166"/>
      <c r="F1794" s="166"/>
      <c r="G1794" s="166"/>
      <c r="M1794" s="143"/>
      <c r="N1794" s="143"/>
      <c r="O1794" s="733"/>
      <c r="P1794" s="23"/>
      <c r="Q1794" s="23"/>
      <c r="R1794" s="23"/>
      <c r="S1794" s="23"/>
      <c r="T1794" s="23"/>
      <c r="U1794" s="23"/>
      <c r="V1794" s="30"/>
      <c r="W1794" s="30"/>
      <c r="X1794" s="30"/>
      <c r="Y1794" s="494"/>
      <c r="Z1794" s="30"/>
      <c r="AA1794" s="30"/>
      <c r="AB1794" s="30"/>
      <c r="AC1794" s="30"/>
      <c r="AD1794" s="30"/>
      <c r="AE1794" s="30"/>
      <c r="AF1794" s="58"/>
      <c r="AG1794" s="30"/>
      <c r="AH1794" s="30"/>
      <c r="AI1794" s="30"/>
      <c r="AJ1794" s="504"/>
      <c r="AK1794" s="504"/>
      <c r="AL1794" s="342"/>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hidden="1" customHeight="1" thickBot="1">
      <c r="A1795" s="808"/>
      <c r="B1795" s="166"/>
      <c r="C1795" s="814" t="s">
        <v>4</v>
      </c>
      <c r="D1795" s="512" t="str">
        <f>Translations!$B$622</f>
        <v>VD:</v>
      </c>
      <c r="E1795" s="1560" t="str">
        <f>Translations!$B$667</f>
        <v>Ar veiklos duomenys gaunami sudedant išmatuotus kiekius (t. y. ne atliekant nuolatinius matavimus)?</v>
      </c>
      <c r="F1795" s="1560"/>
      <c r="G1795" s="1560"/>
      <c r="H1795" s="1560"/>
      <c r="I1795" s="1560"/>
      <c r="J1795" s="1560"/>
      <c r="K1795" s="1560"/>
      <c r="L1795" s="1179"/>
      <c r="M1795" s="507"/>
      <c r="O1795" s="733"/>
      <c r="P1795" s="23"/>
      <c r="Q1795" s="23"/>
      <c r="R1795" s="23"/>
      <c r="S1795" s="23"/>
      <c r="T1795" s="23"/>
      <c r="U1795" s="23"/>
      <c r="V1795" s="30"/>
      <c r="W1795" s="30"/>
      <c r="X1795" s="30"/>
      <c r="Y1795" s="494"/>
      <c r="Z1795" s="30"/>
      <c r="AA1795" s="30"/>
      <c r="AB1795" s="30"/>
      <c r="AC1795" s="1172" t="b">
        <f>AND(E1790&lt;&gt;"",T1791&lt;&gt;TRUE)</f>
        <v>0</v>
      </c>
      <c r="AD1795" s="30"/>
      <c r="AE1795" s="30"/>
      <c r="AF1795" s="58"/>
      <c r="AG1795" s="30"/>
      <c r="AH1795" s="30"/>
      <c r="AI1795" s="30"/>
      <c r="AJ1795" s="504"/>
      <c r="AK1795" s="504"/>
      <c r="AL1795" s="342"/>
      <c r="AM1795" s="30"/>
      <c r="AN1795" s="30"/>
      <c r="AO1795" s="30"/>
      <c r="AP1795" s="30"/>
      <c r="AQ1795" s="30"/>
      <c r="AR1795" s="30"/>
      <c r="AS1795" s="30"/>
      <c r="AT1795" s="1172"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2" t="b">
        <f>OR(CNTR_CalcRelevant=EUconst_NotRelevant,AND(COUNTA(CNTR_ListRelevantSections)&gt;0,OR(T1791=TRUE,E1790="")))</f>
        <v>1</v>
      </c>
    </row>
    <row r="1796" spans="1:78" s="142" customFormat="1" ht="4.5" hidden="1" customHeight="1">
      <c r="A1796" s="808"/>
      <c r="B1796" s="166"/>
      <c r="C1796" s="166"/>
      <c r="D1796" s="166"/>
      <c r="E1796" s="166"/>
      <c r="F1796" s="166"/>
      <c r="G1796" s="166"/>
      <c r="H1796" s="495"/>
      <c r="I1796" s="495"/>
      <c r="J1796" s="495"/>
      <c r="K1796" s="495"/>
      <c r="L1796" s="495"/>
      <c r="M1796" s="507"/>
      <c r="O1796" s="733"/>
      <c r="P1796" s="23"/>
      <c r="Q1796" s="23"/>
      <c r="R1796" s="23"/>
      <c r="S1796" s="23"/>
      <c r="T1796" s="23"/>
      <c r="U1796" s="23"/>
      <c r="V1796" s="30"/>
      <c r="W1796" s="30"/>
      <c r="X1796" s="30"/>
      <c r="Y1796" s="494"/>
      <c r="Z1796" s="30"/>
      <c r="AA1796" s="30"/>
      <c r="AB1796" s="30"/>
      <c r="AC1796" s="492"/>
      <c r="AD1796" s="30"/>
      <c r="AE1796" s="30"/>
      <c r="AF1796" s="58"/>
      <c r="AG1796" s="30"/>
      <c r="AH1796" s="30"/>
      <c r="AI1796" s="30"/>
      <c r="AJ1796" s="504"/>
      <c r="AK1796" s="504"/>
      <c r="AL1796" s="342"/>
      <c r="AM1796" s="30"/>
      <c r="AN1796" s="30"/>
      <c r="AO1796" s="30"/>
      <c r="AP1796" s="30"/>
      <c r="AQ1796" s="30"/>
      <c r="AR1796" s="30"/>
      <c r="AS1796" s="30"/>
      <c r="AT1796" s="492"/>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2"/>
    </row>
    <row r="1797" spans="1:78" s="142" customFormat="1" ht="12.75" hidden="1" customHeight="1" thickBot="1">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3"/>
      <c r="Q1797" s="23"/>
      <c r="R1797" s="23"/>
      <c r="S1797" s="23"/>
      <c r="T1797" s="23"/>
      <c r="U1797" s="23"/>
      <c r="V1797" s="30"/>
      <c r="W1797" s="30"/>
      <c r="X1797" s="30"/>
      <c r="Y1797" s="494"/>
      <c r="Z1797" s="30"/>
      <c r="AA1797" s="30"/>
      <c r="AB1797" s="30"/>
      <c r="AC1797" s="1172" t="b">
        <f>AC1795</f>
        <v>0</v>
      </c>
      <c r="AD1797" s="30"/>
      <c r="AE1797" s="30"/>
      <c r="AF1797" s="58"/>
      <c r="AG1797" s="30"/>
      <c r="AH1797" s="30"/>
      <c r="AI1797" s="30"/>
      <c r="AJ1797" s="504"/>
      <c r="AK1797" s="504"/>
      <c r="AL1797" s="342"/>
      <c r="AM1797" s="30"/>
      <c r="AN1797" s="30"/>
      <c r="AO1797" s="30"/>
      <c r="AP1797" s="30"/>
      <c r="AQ1797" s="30"/>
      <c r="AR1797" s="30"/>
      <c r="AS1797" s="30"/>
      <c r="AT1797" s="1172"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2" t="b">
        <f>OR(BZ1795,AND(NOT(ISBLANK(L1795)),L1795=FALSE))</f>
        <v>1</v>
      </c>
    </row>
    <row r="1798" spans="1:78" s="142" customFormat="1" ht="5.0999999999999996" hidden="1" customHeight="1">
      <c r="A1798" s="808"/>
      <c r="B1798" s="166"/>
      <c r="C1798" s="166"/>
      <c r="D1798" s="166"/>
      <c r="E1798" s="166"/>
      <c r="F1798" s="166"/>
      <c r="G1798" s="166"/>
      <c r="M1798" s="143"/>
      <c r="N1798" s="143"/>
      <c r="O1798" s="733"/>
      <c r="P1798" s="23"/>
      <c r="Q1798" s="23"/>
      <c r="R1798" s="23"/>
      <c r="S1798" s="23"/>
      <c r="T1798" s="23"/>
      <c r="U1798" s="23"/>
      <c r="V1798" s="30"/>
      <c r="W1798" s="30"/>
      <c r="X1798" s="30"/>
      <c r="Y1798" s="494"/>
      <c r="Z1798" s="30"/>
      <c r="AA1798" s="30"/>
      <c r="AB1798" s="30"/>
      <c r="AC1798" s="30"/>
      <c r="AD1798" s="30"/>
      <c r="AE1798" s="30"/>
      <c r="AF1798" s="58"/>
      <c r="AG1798" s="30"/>
      <c r="AH1798" s="30"/>
      <c r="AI1798" s="30"/>
      <c r="AJ1798" s="504"/>
      <c r="AK1798" s="504"/>
      <c r="AL1798" s="342"/>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hidden="1" customHeight="1" thickBot="1">
      <c r="A1799" s="808"/>
      <c r="B1799" s="166"/>
      <c r="C1799" s="166"/>
      <c r="D1799" s="166"/>
      <c r="E1799" s="166"/>
      <c r="F1799" s="506" t="str">
        <f>Translations!$B$333</f>
        <v>Pakopa</v>
      </c>
      <c r="G1799" s="1557" t="str">
        <f>Translations!$B$672</f>
        <v>pakopos aprašas</v>
      </c>
      <c r="H1799" s="1557"/>
      <c r="I1799" s="1555" t="str">
        <f>Translations!$B$158</f>
        <v>Vienetas</v>
      </c>
      <c r="J1799" s="1555"/>
      <c r="K1799" s="1555" t="str">
        <f>Translations!$B$673</f>
        <v>Vertė</v>
      </c>
      <c r="L1799" s="1555"/>
      <c r="M1799" s="507" t="str">
        <f>Translations!$B$610</f>
        <v>klaida</v>
      </c>
      <c r="O1799" s="733"/>
      <c r="P1799" s="508"/>
      <c r="Q1799" s="352" t="str">
        <f>EUconst_SumEnergyIN &amp; "_" &amp; K1790</f>
        <v>SUM_EnergyIN_</v>
      </c>
      <c r="R1799" s="399" t="str">
        <f>IF(OR(K1790="",T1791)=TRUE,"",INDEX(BC1805:BE1805,MATCH(K1790,BC1800:BE1800,0)))</f>
        <v/>
      </c>
      <c r="S1799" s="30"/>
      <c r="T1799" s="489"/>
      <c r="U1799" s="30"/>
      <c r="V1799" s="509" t="s">
        <v>303</v>
      </c>
      <c r="W1799" s="30"/>
      <c r="X1799" s="30"/>
      <c r="Y1799" s="494" t="s">
        <v>566</v>
      </c>
      <c r="Z1799" s="494" t="s">
        <v>318</v>
      </c>
      <c r="AA1799" s="30"/>
      <c r="AB1799" s="30"/>
      <c r="AC1799" s="505" t="s">
        <v>309</v>
      </c>
      <c r="AD1799" s="30"/>
      <c r="AE1799" s="30"/>
      <c r="AF1799" s="492" t="s">
        <v>305</v>
      </c>
      <c r="AG1799" s="492" t="s">
        <v>306</v>
      </c>
      <c r="AH1799" s="494" t="s">
        <v>304</v>
      </c>
      <c r="AI1799" s="504" t="s">
        <v>307</v>
      </c>
      <c r="AJ1799" s="504" t="s">
        <v>567</v>
      </c>
      <c r="AK1799" s="510" t="s">
        <v>311</v>
      </c>
      <c r="AL1799" s="342"/>
      <c r="AM1799" s="30"/>
      <c r="AN1799" s="492" t="s">
        <v>305</v>
      </c>
      <c r="AO1799" s="492" t="s">
        <v>306</v>
      </c>
      <c r="AP1799" s="511" t="s">
        <v>310</v>
      </c>
      <c r="AQ1799" s="504" t="s">
        <v>569</v>
      </c>
      <c r="AR1799" s="504" t="s">
        <v>568</v>
      </c>
      <c r="AS1799" s="510" t="s">
        <v>609</v>
      </c>
      <c r="AT1799" s="510" t="s">
        <v>609</v>
      </c>
      <c r="AU1799" s="30"/>
      <c r="AV1799" s="492"/>
      <c r="AW1799" s="492"/>
      <c r="AX1799" s="492" t="s">
        <v>321</v>
      </c>
      <c r="AY1799" s="492"/>
      <c r="AZ1799" s="492"/>
      <c r="BA1799" s="492"/>
      <c r="BB1799" s="492"/>
      <c r="BC1799" s="492"/>
      <c r="BD1799" s="492"/>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3" t="s">
        <v>262</v>
      </c>
    </row>
    <row r="1800" spans="1:78" s="142" customFormat="1" ht="12.75" hidden="1" customHeight="1" thickBot="1">
      <c r="A1800" s="808"/>
      <c r="B1800" s="166"/>
      <c r="C1800" s="777" t="s">
        <v>196</v>
      </c>
      <c r="D1800" s="512" t="str">
        <f>Translations!$B$622</f>
        <v>VD:</v>
      </c>
      <c r="E1800" s="513"/>
      <c r="F1800" s="402"/>
      <c r="G1800" s="1532" t="str">
        <f>IF(OR(ISBLANK(F1800),F1800=EUconst_NoTier),"",IF(Z1800=0,EUconst_NA,IF(ISERROR(Z1800),"",Z1800)))</f>
        <v/>
      </c>
      <c r="H1800" s="1533"/>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0"/>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0"/>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0"/>
      <c r="AV1800" s="492" t="s">
        <v>314</v>
      </c>
      <c r="AW1800" s="492" t="s">
        <v>319</v>
      </c>
      <c r="AX1800" s="524"/>
      <c r="AY1800" s="30" t="s">
        <v>542</v>
      </c>
      <c r="AZ1800" s="30"/>
      <c r="BA1800" s="30"/>
      <c r="BB1800" s="504"/>
      <c r="BC1800" s="493" t="str">
        <f>EUconst_Fuel</f>
        <v>Degimas</v>
      </c>
      <c r="BD1800" s="493" t="str">
        <f>EUconst_ProcessCarbonate</f>
        <v>Proceso metu išsiskiriančios ŠESD</v>
      </c>
      <c r="BE1800" s="493"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4" t="b">
        <f>BZ1795</f>
        <v>1</v>
      </c>
    </row>
    <row r="1801" spans="1:78" s="142" customFormat="1" ht="5.0999999999999996" hidden="1" customHeight="1">
      <c r="A1801" s="808"/>
      <c r="B1801" s="166"/>
      <c r="C1801" s="814"/>
      <c r="D1801" s="306"/>
      <c r="F1801" s="143"/>
      <c r="G1801" s="143"/>
      <c r="H1801" s="143" t="s">
        <v>236</v>
      </c>
      <c r="I1801" s="525"/>
      <c r="J1801" s="525"/>
      <c r="K1801" s="143"/>
      <c r="L1801" s="143"/>
      <c r="M1801" s="710"/>
      <c r="O1801" s="733"/>
      <c r="P1801" s="33"/>
      <c r="Q1801" s="33"/>
      <c r="R1801" s="33"/>
      <c r="S1801" s="30"/>
      <c r="T1801" s="155"/>
      <c r="U1801" s="497"/>
      <c r="V1801" s="30"/>
      <c r="W1801" s="30"/>
      <c r="X1801" s="497"/>
      <c r="Y1801" s="526"/>
      <c r="Z1801" s="30"/>
      <c r="AA1801" s="30"/>
      <c r="AB1801" s="30"/>
      <c r="AC1801" s="30"/>
      <c r="AD1801" s="30"/>
      <c r="AE1801" s="30"/>
      <c r="AF1801" s="30"/>
      <c r="AG1801" s="30"/>
      <c r="AH1801" s="30"/>
      <c r="AI1801" s="30"/>
      <c r="AJ1801" s="30"/>
      <c r="AK1801" s="30"/>
      <c r="AL1801" s="342"/>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3"/>
    </row>
    <row r="1802" spans="1:78" s="142" customFormat="1" ht="12.75" hidden="1" customHeight="1" thickBot="1">
      <c r="A1802" s="808"/>
      <c r="B1802" s="166"/>
      <c r="C1802" s="814" t="s">
        <v>197</v>
      </c>
      <c r="D1802" s="512" t="str">
        <f>Translations!$B$634</f>
        <v>(prelim.) ITF:</v>
      </c>
      <c r="E1802" s="513"/>
      <c r="F1802" s="527"/>
      <c r="G1802" s="1532" t="str">
        <f t="shared" ref="G1802:G1808" si="448">IF(OR(ISBLANK(F1802),F1802=EUconst_NoTier),"",IF(Z1802=0,EUconst_NotApplicable,IF(ISERROR(Z1802),"",Z1802)))</f>
        <v/>
      </c>
      <c r="H1802" s="1556"/>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3"/>
      <c r="Q1802" s="33"/>
      <c r="R1802" s="33"/>
      <c r="S1802" s="30"/>
      <c r="T1802" s="530" t="str">
        <f>EUconst_CNTR_EF&amp;E1791</f>
        <v>EF_</v>
      </c>
      <c r="U1802" s="497"/>
      <c r="V1802" s="531" t="str">
        <f>V1800</f>
        <v/>
      </c>
      <c r="W1802" s="30"/>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0"/>
      <c r="AC1802" s="535" t="b">
        <f>AND(AC1800,Y1802&lt;&gt;EUconst_NA)</f>
        <v>0</v>
      </c>
      <c r="AD1802" s="30"/>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0"/>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0"/>
      <c r="BA1802" s="30"/>
      <c r="BB1802" s="547" t="s">
        <v>594</v>
      </c>
      <c r="BC1802" s="546" t="str">
        <f>IF(K1790=BC1800,AR1800*IF(AJ1802=EUconst_tCO2pTJ,(AR1803/1000),1)*AR1802*AR1804*AR1808,"")</f>
        <v/>
      </c>
      <c r="BD1802" s="524" t="str">
        <f>IF(K1790=BD1800,AR1800*AR1802*AR1805*AR1808,"")</f>
        <v/>
      </c>
      <c r="BE1802" s="523"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1" t="b">
        <f>OR(BZ1800,Y1802=EUconst_NA)</f>
        <v>1</v>
      </c>
    </row>
    <row r="1803" spans="1:78" s="142" customFormat="1" ht="12.75" hidden="1" customHeight="1" thickBot="1">
      <c r="A1803" s="808"/>
      <c r="B1803" s="166"/>
      <c r="C1803" s="814" t="s">
        <v>198</v>
      </c>
      <c r="D1803" s="512" t="str">
        <f>Translations!$B$636</f>
        <v>GŠV:</v>
      </c>
      <c r="E1803" s="513"/>
      <c r="F1803" s="548"/>
      <c r="G1803" s="1532" t="str">
        <f t="shared" si="448"/>
        <v/>
      </c>
      <c r="H1803" s="1533"/>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3"/>
      <c r="Q1803" s="33"/>
      <c r="R1803" s="33"/>
      <c r="S1803" s="30"/>
      <c r="T1803" s="552" t="str">
        <f>EUconst_CNTR_NCV&amp;E1791</f>
        <v>NCV_</v>
      </c>
      <c r="U1803" s="497"/>
      <c r="V1803" s="553" t="str">
        <f t="shared" ref="V1803:V1808" si="454">V1802</f>
        <v/>
      </c>
      <c r="W1803" s="30"/>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0"/>
      <c r="AC1803" s="557" t="b">
        <f>AND(AC1800,Y1803&lt;&gt;EUconst_NA)</f>
        <v>0</v>
      </c>
      <c r="AD1803" s="30"/>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0"/>
      <c r="AV1803" s="567" t="b">
        <f t="shared" si="451"/>
        <v>0</v>
      </c>
      <c r="AW1803" s="568" t="b">
        <f t="shared" si="452"/>
        <v>0</v>
      </c>
      <c r="AX1803" s="30"/>
      <c r="AY1803" s="553" t="b">
        <f t="shared" si="453"/>
        <v>0</v>
      </c>
      <c r="AZ1803" s="30"/>
      <c r="BA1803" s="30"/>
      <c r="BB1803" s="547" t="s">
        <v>595</v>
      </c>
      <c r="BC1803" s="546" t="str">
        <f>IF(K1790=BC1800,AR1800*IF(AJ1802=EUconst_tCO2pTJ,(AR1803/1000),1)*AR1802*AR1804*AR1807,"")</f>
        <v/>
      </c>
      <c r="BD1803" s="524" t="str">
        <f>IF(K1790=BD1800,AR1800*AR1802*AR1805*AR1807,"")</f>
        <v/>
      </c>
      <c r="BE1803" s="523"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3" t="b">
        <f>OR(BZ1800,Y1803=EUconst_NA)</f>
        <v>1</v>
      </c>
    </row>
    <row r="1804" spans="1:78" s="142" customFormat="1" ht="12.75" hidden="1" customHeight="1" thickBot="1">
      <c r="A1804" s="808"/>
      <c r="B1804" s="166"/>
      <c r="C1804" s="814" t="s">
        <v>199</v>
      </c>
      <c r="D1804" s="512" t="str">
        <f>Translations!$B$638</f>
        <v>OksK:</v>
      </c>
      <c r="E1804" s="513"/>
      <c r="F1804" s="548"/>
      <c r="G1804" s="1532" t="str">
        <f t="shared" si="448"/>
        <v/>
      </c>
      <c r="H1804" s="1533"/>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3"/>
      <c r="Q1804" s="33"/>
      <c r="R1804" s="33"/>
      <c r="S1804" s="30"/>
      <c r="T1804" s="552" t="str">
        <f>EUconst_CNTR_OxidationFactor&amp;E1791</f>
        <v>OxF_</v>
      </c>
      <c r="U1804" s="497"/>
      <c r="V1804" s="553" t="str">
        <f t="shared" si="454"/>
        <v/>
      </c>
      <c r="W1804" s="30"/>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0"/>
      <c r="AC1804" s="557" t="b">
        <f>AND(AC1800,Y1804&lt;&gt;EUconst_NA)</f>
        <v>0</v>
      </c>
      <c r="AD1804" s="30"/>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0"/>
      <c r="AV1804" s="567" t="b">
        <f t="shared" si="451"/>
        <v>0</v>
      </c>
      <c r="AW1804" s="568" t="b">
        <f t="shared" si="452"/>
        <v>0</v>
      </c>
      <c r="AX1804" s="30"/>
      <c r="AY1804" s="594" t="b">
        <f t="shared" si="453"/>
        <v>0</v>
      </c>
      <c r="AZ1804" s="531" t="b">
        <f>AR1804&gt;100%</f>
        <v>0</v>
      </c>
      <c r="BA1804" s="30"/>
      <c r="BB1804" s="547" t="s">
        <v>290</v>
      </c>
      <c r="BC1804" s="546" t="str">
        <f>IF(K1790=BC1800,AR1800*IF(AJ1802=EUconst_tCO2pTJ,(AR1803/1000),1)*AR1802*AR1804*(1-AR1807),"")</f>
        <v/>
      </c>
      <c r="BD1804" s="524" t="str">
        <f>IF(K1790=BD1800,AR1800*AR1802*AR1805*(1-AR1807),"")</f>
        <v/>
      </c>
      <c r="BE1804" s="523"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3" t="b">
        <f>OR(BZ1800,Y1804=EUconst_NA)</f>
        <v>1</v>
      </c>
    </row>
    <row r="1805" spans="1:78" s="142" customFormat="1" ht="12.75" hidden="1" customHeight="1" thickBot="1">
      <c r="A1805" s="808"/>
      <c r="B1805" s="166"/>
      <c r="C1805" s="814" t="s">
        <v>200</v>
      </c>
      <c r="D1805" s="512" t="str">
        <f>Translations!$B$639</f>
        <v>KonvK:</v>
      </c>
      <c r="E1805" s="513"/>
      <c r="F1805" s="548"/>
      <c r="G1805" s="1532" t="str">
        <f t="shared" si="448"/>
        <v/>
      </c>
      <c r="H1805" s="1533"/>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3"/>
      <c r="Q1805" s="33"/>
      <c r="R1805" s="33"/>
      <c r="S1805" s="30"/>
      <c r="T1805" s="552" t="str">
        <f>EUconst_CNTR_ConversionFactor&amp;E1791</f>
        <v>ConvF_</v>
      </c>
      <c r="U1805" s="497"/>
      <c r="V1805" s="553" t="str">
        <f t="shared" si="454"/>
        <v/>
      </c>
      <c r="W1805" s="30"/>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0"/>
      <c r="AC1805" s="557" t="b">
        <f>AND(AC1800,Y1805&lt;&gt;EUconst_NA)</f>
        <v>0</v>
      </c>
      <c r="AD1805" s="30"/>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0"/>
      <c r="AV1805" s="567" t="b">
        <f t="shared" si="451"/>
        <v>0</v>
      </c>
      <c r="AW1805" s="568" t="b">
        <f t="shared" si="452"/>
        <v>0</v>
      </c>
      <c r="AX1805" s="30"/>
      <c r="AY1805" s="594" t="b">
        <f t="shared" si="453"/>
        <v>0</v>
      </c>
      <c r="AZ1805" s="580" t="b">
        <f>AR1805&gt;100%</f>
        <v>0</v>
      </c>
      <c r="BA1805" s="30"/>
      <c r="BB1805" s="578" t="s">
        <v>487</v>
      </c>
      <c r="BC1805" s="579">
        <f>AR1800*AR1803/1000*(1-AR1807)</f>
        <v>0</v>
      </c>
      <c r="BD1805" s="580">
        <f>BC1805</f>
        <v>0</v>
      </c>
      <c r="BE1805" s="581">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3" t="b">
        <f>OR(BZ1800,Y1805=EUconst_NA)</f>
        <v>1</v>
      </c>
    </row>
    <row r="1806" spans="1:78" s="142" customFormat="1" ht="12.75" hidden="1" customHeight="1" thickBot="1">
      <c r="A1806" s="808"/>
      <c r="B1806" s="166"/>
      <c r="C1806" s="814" t="s">
        <v>329</v>
      </c>
      <c r="D1806" s="512" t="str">
        <f>Translations!$B$640</f>
        <v>AnglK:</v>
      </c>
      <c r="E1806" s="513"/>
      <c r="F1806" s="548"/>
      <c r="G1806" s="1532" t="str">
        <f t="shared" si="448"/>
        <v/>
      </c>
      <c r="H1806" s="1533"/>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3"/>
      <c r="Q1806" s="33"/>
      <c r="R1806" s="33"/>
      <c r="S1806" s="30"/>
      <c r="T1806" s="552" t="str">
        <f>EUconst_CNTR_CarbonContent&amp;E1791</f>
        <v>CarbC_</v>
      </c>
      <c r="U1806" s="497"/>
      <c r="V1806" s="553" t="str">
        <f t="shared" si="454"/>
        <v/>
      </c>
      <c r="W1806" s="30"/>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0"/>
      <c r="AC1806" s="557" t="b">
        <f>AND(AC1800,Y1806&lt;&gt;EUconst_NA)</f>
        <v>0</v>
      </c>
      <c r="AD1806" s="30"/>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0"/>
      <c r="AV1806" s="567" t="b">
        <f t="shared" si="451"/>
        <v>0</v>
      </c>
      <c r="AW1806" s="568" t="b">
        <f t="shared" si="452"/>
        <v>0</v>
      </c>
      <c r="AX1806" s="546" t="b">
        <f>OR(AND(AJ1800=EUconst_kNm3,AJ1806=EUconst_tCpt),AND(AJ1800=EUconst_t,AJ1806=EUconst_tCpkNm3))</f>
        <v>0</v>
      </c>
      <c r="AY1806" s="553" t="b">
        <f t="shared" si="453"/>
        <v>0</v>
      </c>
      <c r="AZ1806" s="30"/>
      <c r="BA1806" s="30"/>
      <c r="BB1806" s="578" t="s">
        <v>488</v>
      </c>
      <c r="BC1806" s="579">
        <f>AR1800*AR1803/1000*AR1807</f>
        <v>0</v>
      </c>
      <c r="BD1806" s="580">
        <f>BC1806</f>
        <v>0</v>
      </c>
      <c r="BE1806" s="581">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3" t="b">
        <f>OR(BZ1800,Y1806=EUconst_NA)</f>
        <v>1</v>
      </c>
    </row>
    <row r="1807" spans="1:78" s="142" customFormat="1" ht="12.75" hidden="1" customHeight="1">
      <c r="A1807" s="808"/>
      <c r="B1807" s="166"/>
      <c r="C1807" s="777" t="s">
        <v>330</v>
      </c>
      <c r="D1807" s="512" t="str">
        <f>Translations!$B$641</f>
        <v>BioC:</v>
      </c>
      <c r="E1807" s="513"/>
      <c r="F1807" s="548"/>
      <c r="G1807" s="1532" t="str">
        <f t="shared" si="448"/>
        <v/>
      </c>
      <c r="H1807" s="1533"/>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0"/>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0"/>
      <c r="AC1807" s="557" t="b">
        <f>AND(AC1800,Y1807&lt;&gt;EUconst_NA)</f>
        <v>0</v>
      </c>
      <c r="AD1807" s="30"/>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0"/>
      <c r="AV1807" s="567" t="b">
        <f t="shared" si="451"/>
        <v>0</v>
      </c>
      <c r="AW1807" s="568" t="b">
        <f t="shared" si="452"/>
        <v>0</v>
      </c>
      <c r="AX1807" s="30"/>
      <c r="AY1807" s="594" t="b">
        <f t="shared" si="453"/>
        <v>0</v>
      </c>
      <c r="AZ1807" s="531"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3" t="b">
        <f>OR(BZ1800,Y1807=EUconst_NA)</f>
        <v>1</v>
      </c>
    </row>
    <row r="1808" spans="1:78" s="142" customFormat="1" ht="9.75" hidden="1" customHeight="1" thickBot="1">
      <c r="A1808" s="808"/>
      <c r="B1808" s="166"/>
      <c r="C1808" s="777" t="s">
        <v>454</v>
      </c>
      <c r="D1808" s="512" t="str">
        <f>Translations!$B$647</f>
        <v>Netvar. BioC:</v>
      </c>
      <c r="E1808" s="513"/>
      <c r="F1808" s="597"/>
      <c r="G1808" s="1532" t="str">
        <f t="shared" si="448"/>
        <v/>
      </c>
      <c r="H1808" s="1533"/>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0"/>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0"/>
      <c r="AC1808" s="603" t="b">
        <f>AND(AC1800,Y1808&lt;&gt;EUconst_NA)</f>
        <v>0</v>
      </c>
      <c r="AD1808" s="30"/>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0"/>
      <c r="AV1808" s="613" t="b">
        <f t="shared" si="451"/>
        <v>0</v>
      </c>
      <c r="AW1808" s="614" t="b">
        <f t="shared" si="452"/>
        <v>0</v>
      </c>
      <c r="AX1808" s="30"/>
      <c r="AY1808" s="579" t="b">
        <f t="shared" si="453"/>
        <v>0</v>
      </c>
      <c r="AZ1808" s="580"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80" t="b">
        <f>OR(BZ1800,Y1808=EUconst_NA)</f>
        <v>1</v>
      </c>
    </row>
    <row r="1809" spans="1:78" s="142" customFormat="1" ht="4.5" hidden="1" customHeight="1">
      <c r="A1809" s="808"/>
      <c r="B1809" s="166"/>
      <c r="C1809" s="166"/>
      <c r="D1809" s="180"/>
      <c r="O1809" s="733"/>
      <c r="P1809" s="33"/>
      <c r="Q1809" s="33"/>
      <c r="R1809" s="33"/>
      <c r="S1809" s="174"/>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hidden="1" customHeight="1">
      <c r="A1810" s="808"/>
      <c r="B1810" s="166"/>
      <c r="C1810" s="166"/>
      <c r="D1810" s="1558" t="str">
        <f>Translations!$B$674</f>
        <v>Pakopos galioja nuo:</v>
      </c>
      <c r="E1810" s="1558"/>
      <c r="F1810" s="1559"/>
      <c r="G1810" s="1052"/>
      <c r="H1810" s="615" t="str">
        <f>Translations!$B$675</f>
        <v>iki:</v>
      </c>
      <c r="I1810" s="1052"/>
      <c r="J1810" s="1536" t="str">
        <f>Translations!$B$676</f>
        <v>Atliekų katalogo numeris (jeigu taikytina):</v>
      </c>
      <c r="K1810" s="1537"/>
      <c r="L1810" s="1537"/>
      <c r="M1810" s="1538"/>
      <c r="N1810" s="1289"/>
      <c r="O1810" s="733"/>
      <c r="P1810" s="33"/>
      <c r="Q1810" s="33"/>
      <c r="R1810" s="33"/>
      <c r="S1810" s="1290"/>
      <c r="T1810" s="492"/>
      <c r="U1810" s="492"/>
      <c r="V1810" s="48" t="b">
        <f>IF(V1800="",FALSE,INDEX(CNTR_IsWaste,MATCH(V1800,MSParameters!$A$218:$A$376,0)))</f>
        <v>0</v>
      </c>
      <c r="W1810" s="1290"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hidden="1" customHeight="1">
      <c r="A1811" s="808"/>
      <c r="B1811" s="166"/>
      <c r="C1811" s="166"/>
      <c r="D1811" s="615"/>
      <c r="E1811" s="495"/>
      <c r="F1811" s="495"/>
      <c r="G1811" s="495"/>
      <c r="H1811" s="495"/>
      <c r="I1811" s="495"/>
      <c r="J1811" s="495"/>
      <c r="K1811" s="495"/>
      <c r="L1811" s="495"/>
      <c r="M1811" s="495"/>
      <c r="N1811" s="495"/>
      <c r="O1811" s="733"/>
      <c r="P1811" s="33"/>
      <c r="Q1811" s="33"/>
      <c r="R1811" s="33"/>
      <c r="S1811" s="174"/>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hidden="1" customHeight="1">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3"/>
      <c r="Q1812" s="33"/>
      <c r="R1812" s="33"/>
      <c r="S1812" s="174"/>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4.5" hidden="1" customHeight="1">
      <c r="A1813" s="815"/>
      <c r="D1813" s="180"/>
      <c r="O1813" s="573"/>
      <c r="P1813" s="497"/>
      <c r="Q1813" s="497"/>
      <c r="R1813" s="497"/>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hidden="1">
      <c r="A1814" s="815"/>
      <c r="D1814" s="1534" t="str">
        <f>Translations!$B$160</f>
        <v>Pastabos:</v>
      </c>
      <c r="E1814" s="1535"/>
      <c r="F1814" s="1539"/>
      <c r="G1814" s="1540"/>
      <c r="H1814" s="1540"/>
      <c r="I1814" s="1540"/>
      <c r="J1814" s="1540"/>
      <c r="K1814" s="1540"/>
      <c r="L1814" s="1540"/>
      <c r="M1814" s="1540"/>
      <c r="N1814" s="1541"/>
      <c r="O1814" s="573"/>
      <c r="P1814" s="497"/>
      <c r="Q1814" s="497"/>
      <c r="R1814" s="497"/>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c r="A1815" s="808"/>
      <c r="B1815" s="495"/>
      <c r="C1815" s="499"/>
      <c r="D1815" s="500"/>
      <c r="E1815" s="501"/>
      <c r="F1815" s="499"/>
      <c r="G1815" s="502"/>
      <c r="H1815" s="502"/>
      <c r="I1815" s="502"/>
      <c r="J1815" s="502"/>
      <c r="K1815" s="502"/>
      <c r="L1815" s="502"/>
      <c r="M1815" s="502"/>
      <c r="N1815" s="502"/>
      <c r="O1815" s="740"/>
      <c r="P1815" s="494"/>
      <c r="Q1815" s="494"/>
      <c r="R1815" s="494"/>
      <c r="S1815" s="58"/>
      <c r="T1815" s="58"/>
      <c r="U1815" s="498"/>
      <c r="V1815" s="58"/>
      <c r="W1815" s="58"/>
      <c r="X1815" s="498"/>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c r="A1816" s="813"/>
      <c r="B1816" s="495"/>
      <c r="C1816" s="495"/>
      <c r="D1816" s="180"/>
      <c r="E1816" s="496"/>
      <c r="F1816" s="495"/>
      <c r="G1816" s="487"/>
      <c r="H1816" s="487"/>
      <c r="I1816" s="487"/>
      <c r="J1816" s="487"/>
      <c r="K1816" s="495"/>
      <c r="L1816" s="487"/>
      <c r="M1816" s="487"/>
      <c r="N1816" s="487"/>
      <c r="O1816" s="740"/>
      <c r="P1816" s="494"/>
      <c r="Q1816" s="494"/>
      <c r="R1816" s="494"/>
      <c r="S1816" s="23"/>
      <c r="T1816" s="27" t="str">
        <f>IF(ISBLANK(E1817),"",MATCH(E1817,CNTR_SourceStreamNames,0))</f>
        <v/>
      </c>
      <c r="U1816" s="618"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1"/>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3" t="s">
        <v>262</v>
      </c>
    </row>
    <row r="1817" spans="1:78" s="142" customFormat="1" ht="15" hidden="1" customHeight="1" thickBot="1">
      <c r="A1817" s="869" t="str">
        <f>IF(E1817="","","PRINT")</f>
        <v/>
      </c>
      <c r="B1817" s="166"/>
      <c r="C1817" s="617">
        <f>C1790+1</f>
        <v>66</v>
      </c>
      <c r="D1817" s="166"/>
      <c r="E1817" s="1542"/>
      <c r="F1817" s="1543"/>
      <c r="G1817" s="1543"/>
      <c r="H1817" s="1543"/>
      <c r="I1817" s="1543"/>
      <c r="J1817" s="1544"/>
      <c r="K1817" s="1545" t="str">
        <f>IF(E1818="","",INDEX(EUwideConstants!$F$353:$F$394,MATCH(E1818,EUConst_TierActivityListNames,0)))</f>
        <v/>
      </c>
      <c r="L1817" s="1546"/>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3"/>
      <c r="T1817" s="509" t="s">
        <v>393</v>
      </c>
      <c r="U1817" s="23"/>
      <c r="V1817" s="78"/>
      <c r="W1817" s="56"/>
      <c r="X1817" s="58"/>
      <c r="Y1817" s="58"/>
      <c r="Z1817" s="58"/>
      <c r="AA1817" s="58"/>
      <c r="AB1817" s="58"/>
      <c r="AC1817" s="58"/>
      <c r="AD1817" s="58"/>
      <c r="AE1817" s="58"/>
      <c r="AF1817" s="58"/>
      <c r="AG1817" s="58"/>
      <c r="AH1817" s="58"/>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6"/>
      <c r="BZ1817" s="619" t="b">
        <f>CNTR_CalcRelevant=EUconst_NotRelevant</f>
        <v>0</v>
      </c>
    </row>
    <row r="1818" spans="1:78" s="142" customFormat="1" ht="15" hidden="1" customHeight="1" thickBot="1">
      <c r="A1818" s="808"/>
      <c r="B1818" s="166"/>
      <c r="C1818" s="166"/>
      <c r="D1818" s="166"/>
      <c r="E1818" s="1547" t="str">
        <f>IF(ISBLANK(E1817),"",IF(INDEX(B_InstallationDescription!$E$71:$E$145,MATCH(U1816,B_InstallationDescription!$D$71:$D$145,0))&gt;0,INDEX(B_InstallationDescription!$E$71:$E$145,MATCH(U1816,B_InstallationDescription!$D$71:$D$145,0)),""))</f>
        <v/>
      </c>
      <c r="F1818" s="1548"/>
      <c r="G1818" s="1548"/>
      <c r="H1818" s="1548"/>
      <c r="I1818" s="1548"/>
      <c r="J1818" s="1549"/>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4"/>
      <c r="AH1818" s="30"/>
      <c r="AI1818" s="30"/>
      <c r="AJ1818" s="504"/>
      <c r="AK1818" s="504"/>
      <c r="AL1818" s="342"/>
      <c r="AM1818" s="27" t="s">
        <v>308</v>
      </c>
      <c r="AN1818" s="505"/>
      <c r="AO1818" s="505"/>
      <c r="AP1818" s="30"/>
      <c r="AQ1818" s="30"/>
      <c r="AR1818" s="30"/>
      <c r="AS1818" s="30"/>
      <c r="AT1818" s="30"/>
      <c r="AU1818" s="30"/>
      <c r="AV1818" s="27" t="s">
        <v>315</v>
      </c>
      <c r="AW1818" s="30"/>
      <c r="AX1818" s="492"/>
      <c r="AY1818" s="30"/>
      <c r="AZ1818" s="30"/>
      <c r="BA1818" s="30"/>
      <c r="BB1818" s="27" t="s">
        <v>219</v>
      </c>
      <c r="BC1818" s="30"/>
      <c r="BD1818" s="30"/>
      <c r="BE1818" s="30"/>
      <c r="BF1818" s="30"/>
      <c r="BG1818" s="27"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0"/>
      <c r="BZ1818" s="30"/>
    </row>
    <row r="1819" spans="1:78" s="142" customFormat="1" ht="5.0999999999999996" hidden="1" customHeight="1">
      <c r="A1819" s="808"/>
      <c r="B1819" s="166"/>
      <c r="C1819" s="166"/>
      <c r="D1819" s="166"/>
      <c r="E1819" s="166"/>
      <c r="F1819" s="166"/>
      <c r="G1819" s="166"/>
      <c r="M1819" s="143"/>
      <c r="N1819" s="143"/>
      <c r="O1819" s="733"/>
      <c r="P1819" s="33"/>
      <c r="Q1819" s="33"/>
      <c r="R1819" s="33"/>
      <c r="S1819" s="23"/>
      <c r="T1819" s="23"/>
      <c r="U1819" s="23"/>
      <c r="V1819" s="78"/>
      <c r="W1819" s="30"/>
      <c r="X1819" s="30"/>
      <c r="Y1819" s="494"/>
      <c r="Z1819" s="30"/>
      <c r="AA1819" s="30"/>
      <c r="AB1819" s="30"/>
      <c r="AC1819" s="30"/>
      <c r="AD1819" s="30"/>
      <c r="AE1819" s="30"/>
      <c r="AF1819" s="58"/>
      <c r="AG1819" s="30"/>
      <c r="AH1819" s="30"/>
      <c r="AI1819" s="30"/>
      <c r="AJ1819" s="504"/>
      <c r="AK1819" s="504"/>
      <c r="AL1819" s="342"/>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hidden="1" customHeight="1" thickBot="1">
      <c r="A1820" s="808"/>
      <c r="B1820" s="166"/>
      <c r="C1820" s="166"/>
      <c r="D1820" s="166"/>
      <c r="E1820" s="1550" t="str">
        <f>IF(E1817="","",IF(T1818=TRUE,HYPERLINK("#JUMP_14",EUconst_MsgGoOnPFC),HYPERLINK("#JUMP_E_8",EUconst_FurtherGuidancePoint1)))</f>
        <v/>
      </c>
      <c r="F1820" s="1550"/>
      <c r="G1820" s="1550"/>
      <c r="H1820" s="1550"/>
      <c r="I1820" s="1550"/>
      <c r="J1820" s="1550"/>
      <c r="K1820" s="1550"/>
      <c r="L1820" s="1550"/>
      <c r="M1820" s="1550"/>
      <c r="N1820" s="143"/>
      <c r="O1820" s="733"/>
      <c r="P1820" s="33"/>
      <c r="Q1820" s="352" t="str">
        <f>EUconst_SumNonSustBioCO2 &amp; "_" &amp; K1817</f>
        <v>SUM_bioNonSustCO2_</v>
      </c>
      <c r="R1820" s="707"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4"/>
      <c r="AK1820" s="504"/>
      <c r="AL1820" s="342"/>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hidden="1" customHeight="1">
      <c r="A1821" s="808"/>
      <c r="B1821" s="166"/>
      <c r="C1821" s="166"/>
      <c r="D1821" s="166"/>
      <c r="E1821" s="166"/>
      <c r="F1821" s="166"/>
      <c r="G1821" s="166"/>
      <c r="M1821" s="143"/>
      <c r="N1821" s="143"/>
      <c r="O1821" s="733"/>
      <c r="P1821" s="23"/>
      <c r="Q1821" s="23"/>
      <c r="R1821" s="23"/>
      <c r="S1821" s="23"/>
      <c r="T1821" s="23"/>
      <c r="U1821" s="23"/>
      <c r="V1821" s="30"/>
      <c r="W1821" s="30"/>
      <c r="X1821" s="30"/>
      <c r="Y1821" s="494"/>
      <c r="Z1821" s="30"/>
      <c r="AA1821" s="30"/>
      <c r="AB1821" s="30"/>
      <c r="AC1821" s="30"/>
      <c r="AD1821" s="30"/>
      <c r="AE1821" s="30"/>
      <c r="AF1821" s="58"/>
      <c r="AG1821" s="30"/>
      <c r="AH1821" s="30"/>
      <c r="AI1821" s="30"/>
      <c r="AJ1821" s="504"/>
      <c r="AK1821" s="504"/>
      <c r="AL1821" s="342"/>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hidden="1" customHeight="1" thickBot="1">
      <c r="A1822" s="808"/>
      <c r="B1822" s="166"/>
      <c r="C1822" s="814" t="s">
        <v>4</v>
      </c>
      <c r="D1822" s="512" t="str">
        <f>Translations!$B$622</f>
        <v>VD:</v>
      </c>
      <c r="E1822" s="1560" t="str">
        <f>Translations!$B$667</f>
        <v>Ar veiklos duomenys gaunami sudedant išmatuotus kiekius (t. y. ne atliekant nuolatinius matavimus)?</v>
      </c>
      <c r="F1822" s="1560"/>
      <c r="G1822" s="1560"/>
      <c r="H1822" s="1560"/>
      <c r="I1822" s="1560"/>
      <c r="J1822" s="1560"/>
      <c r="K1822" s="1560"/>
      <c r="L1822" s="1179"/>
      <c r="M1822" s="507"/>
      <c r="O1822" s="733"/>
      <c r="P1822" s="23"/>
      <c r="Q1822" s="23"/>
      <c r="R1822" s="23"/>
      <c r="S1822" s="23"/>
      <c r="T1822" s="23"/>
      <c r="U1822" s="23"/>
      <c r="V1822" s="30"/>
      <c r="W1822" s="30"/>
      <c r="X1822" s="30"/>
      <c r="Y1822" s="494"/>
      <c r="Z1822" s="30"/>
      <c r="AA1822" s="30"/>
      <c r="AB1822" s="30"/>
      <c r="AC1822" s="1172" t="b">
        <f>AND(E1817&lt;&gt;"",T1818&lt;&gt;TRUE)</f>
        <v>0</v>
      </c>
      <c r="AD1822" s="30"/>
      <c r="AE1822" s="30"/>
      <c r="AF1822" s="58"/>
      <c r="AG1822" s="30"/>
      <c r="AH1822" s="30"/>
      <c r="AI1822" s="30"/>
      <c r="AJ1822" s="504"/>
      <c r="AK1822" s="504"/>
      <c r="AL1822" s="342"/>
      <c r="AM1822" s="30"/>
      <c r="AN1822" s="30"/>
      <c r="AO1822" s="30"/>
      <c r="AP1822" s="30"/>
      <c r="AQ1822" s="30"/>
      <c r="AR1822" s="30"/>
      <c r="AS1822" s="30"/>
      <c r="AT1822" s="1172"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2" t="b">
        <f>OR(CNTR_CalcRelevant=EUconst_NotRelevant,AND(COUNTA(CNTR_ListRelevantSections)&gt;0,OR(T1818=TRUE,E1817="")))</f>
        <v>1</v>
      </c>
    </row>
    <row r="1823" spans="1:78" s="142" customFormat="1" ht="5.0999999999999996" hidden="1" customHeight="1">
      <c r="A1823" s="808"/>
      <c r="B1823" s="166"/>
      <c r="C1823" s="166"/>
      <c r="D1823" s="166"/>
      <c r="E1823" s="166"/>
      <c r="F1823" s="166"/>
      <c r="G1823" s="166"/>
      <c r="H1823" s="495"/>
      <c r="I1823" s="495"/>
      <c r="J1823" s="495"/>
      <c r="K1823" s="495"/>
      <c r="L1823" s="495"/>
      <c r="M1823" s="507"/>
      <c r="O1823" s="733"/>
      <c r="P1823" s="23"/>
      <c r="Q1823" s="23"/>
      <c r="R1823" s="23"/>
      <c r="S1823" s="23"/>
      <c r="T1823" s="23"/>
      <c r="U1823" s="23"/>
      <c r="V1823" s="30"/>
      <c r="W1823" s="30"/>
      <c r="X1823" s="30"/>
      <c r="Y1823" s="494"/>
      <c r="Z1823" s="30"/>
      <c r="AA1823" s="30"/>
      <c r="AB1823" s="30"/>
      <c r="AC1823" s="492"/>
      <c r="AD1823" s="30"/>
      <c r="AE1823" s="30"/>
      <c r="AF1823" s="58"/>
      <c r="AG1823" s="30"/>
      <c r="AH1823" s="30"/>
      <c r="AI1823" s="30"/>
      <c r="AJ1823" s="504"/>
      <c r="AK1823" s="504"/>
      <c r="AL1823" s="342"/>
      <c r="AM1823" s="30"/>
      <c r="AN1823" s="30"/>
      <c r="AO1823" s="30"/>
      <c r="AP1823" s="30"/>
      <c r="AQ1823" s="30"/>
      <c r="AR1823" s="30"/>
      <c r="AS1823" s="30"/>
      <c r="AT1823" s="492"/>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2"/>
    </row>
    <row r="1824" spans="1:78" s="142" customFormat="1" ht="12.75" hidden="1" customHeight="1" thickBot="1">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3"/>
      <c r="Q1824" s="23"/>
      <c r="R1824" s="23"/>
      <c r="S1824" s="23"/>
      <c r="T1824" s="23"/>
      <c r="U1824" s="23"/>
      <c r="V1824" s="30"/>
      <c r="W1824" s="30"/>
      <c r="X1824" s="30"/>
      <c r="Y1824" s="494"/>
      <c r="Z1824" s="30"/>
      <c r="AA1824" s="30"/>
      <c r="AB1824" s="30"/>
      <c r="AC1824" s="1172" t="b">
        <f>AC1822</f>
        <v>0</v>
      </c>
      <c r="AD1824" s="30"/>
      <c r="AE1824" s="30"/>
      <c r="AF1824" s="58"/>
      <c r="AG1824" s="30"/>
      <c r="AH1824" s="30"/>
      <c r="AI1824" s="30"/>
      <c r="AJ1824" s="504"/>
      <c r="AK1824" s="504"/>
      <c r="AL1824" s="342"/>
      <c r="AM1824" s="30"/>
      <c r="AN1824" s="30"/>
      <c r="AO1824" s="30"/>
      <c r="AP1824" s="30"/>
      <c r="AQ1824" s="30"/>
      <c r="AR1824" s="30"/>
      <c r="AS1824" s="30"/>
      <c r="AT1824" s="1172"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2" t="b">
        <f>OR(BZ1822,AND(NOT(ISBLANK(L1822)),L1822=FALSE))</f>
        <v>1</v>
      </c>
    </row>
    <row r="1825" spans="1:78" s="142" customFormat="1" ht="4.5" hidden="1" customHeight="1">
      <c r="A1825" s="808"/>
      <c r="B1825" s="166"/>
      <c r="C1825" s="166"/>
      <c r="D1825" s="166"/>
      <c r="E1825" s="166"/>
      <c r="F1825" s="166"/>
      <c r="G1825" s="166"/>
      <c r="M1825" s="143"/>
      <c r="N1825" s="143"/>
      <c r="O1825" s="733"/>
      <c r="P1825" s="23"/>
      <c r="Q1825" s="23"/>
      <c r="R1825" s="23"/>
      <c r="S1825" s="23"/>
      <c r="T1825" s="23"/>
      <c r="U1825" s="23"/>
      <c r="V1825" s="30"/>
      <c r="W1825" s="30"/>
      <c r="X1825" s="30"/>
      <c r="Y1825" s="494"/>
      <c r="Z1825" s="30"/>
      <c r="AA1825" s="30"/>
      <c r="AB1825" s="30"/>
      <c r="AC1825" s="30"/>
      <c r="AD1825" s="30"/>
      <c r="AE1825" s="30"/>
      <c r="AF1825" s="58"/>
      <c r="AG1825" s="30"/>
      <c r="AH1825" s="30"/>
      <c r="AI1825" s="30"/>
      <c r="AJ1825" s="504"/>
      <c r="AK1825" s="504"/>
      <c r="AL1825" s="342"/>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hidden="1" customHeight="1" thickBot="1">
      <c r="A1826" s="808"/>
      <c r="B1826" s="166"/>
      <c r="C1826" s="166"/>
      <c r="D1826" s="166"/>
      <c r="E1826" s="166"/>
      <c r="F1826" s="506" t="str">
        <f>Translations!$B$333</f>
        <v>Pakopa</v>
      </c>
      <c r="G1826" s="1557" t="str">
        <f>Translations!$B$672</f>
        <v>pakopos aprašas</v>
      </c>
      <c r="H1826" s="1557"/>
      <c r="I1826" s="1555" t="str">
        <f>Translations!$B$158</f>
        <v>Vienetas</v>
      </c>
      <c r="J1826" s="1555"/>
      <c r="K1826" s="1555" t="str">
        <f>Translations!$B$673</f>
        <v>Vertė</v>
      </c>
      <c r="L1826" s="1555"/>
      <c r="M1826" s="507" t="str">
        <f>Translations!$B$610</f>
        <v>klaida</v>
      </c>
      <c r="O1826" s="733"/>
      <c r="P1826" s="508"/>
      <c r="Q1826" s="352" t="str">
        <f>EUconst_SumEnergyIN &amp; "_" &amp; K1817</f>
        <v>SUM_EnergyIN_</v>
      </c>
      <c r="R1826" s="399" t="str">
        <f>IF(OR(K1817="",T1818)=TRUE,"",INDEX(BC1832:BE1832,MATCH(K1817,BC1827:BE1827,0)))</f>
        <v/>
      </c>
      <c r="S1826" s="30"/>
      <c r="T1826" s="489"/>
      <c r="U1826" s="30"/>
      <c r="V1826" s="509" t="s">
        <v>303</v>
      </c>
      <c r="W1826" s="30"/>
      <c r="X1826" s="30"/>
      <c r="Y1826" s="494" t="s">
        <v>566</v>
      </c>
      <c r="Z1826" s="494" t="s">
        <v>318</v>
      </c>
      <c r="AA1826" s="30"/>
      <c r="AB1826" s="30"/>
      <c r="AC1826" s="505" t="s">
        <v>309</v>
      </c>
      <c r="AD1826" s="30"/>
      <c r="AE1826" s="30"/>
      <c r="AF1826" s="492" t="s">
        <v>305</v>
      </c>
      <c r="AG1826" s="492" t="s">
        <v>306</v>
      </c>
      <c r="AH1826" s="494" t="s">
        <v>304</v>
      </c>
      <c r="AI1826" s="504" t="s">
        <v>307</v>
      </c>
      <c r="AJ1826" s="504" t="s">
        <v>567</v>
      </c>
      <c r="AK1826" s="510" t="s">
        <v>311</v>
      </c>
      <c r="AL1826" s="342"/>
      <c r="AM1826" s="30"/>
      <c r="AN1826" s="492" t="s">
        <v>305</v>
      </c>
      <c r="AO1826" s="492" t="s">
        <v>306</v>
      </c>
      <c r="AP1826" s="511" t="s">
        <v>310</v>
      </c>
      <c r="AQ1826" s="504" t="s">
        <v>569</v>
      </c>
      <c r="AR1826" s="504" t="s">
        <v>568</v>
      </c>
      <c r="AS1826" s="510" t="s">
        <v>609</v>
      </c>
      <c r="AT1826" s="510" t="s">
        <v>609</v>
      </c>
      <c r="AU1826" s="30"/>
      <c r="AV1826" s="492"/>
      <c r="AW1826" s="492"/>
      <c r="AX1826" s="492" t="s">
        <v>321</v>
      </c>
      <c r="AY1826" s="492"/>
      <c r="AZ1826" s="492"/>
      <c r="BA1826" s="492"/>
      <c r="BB1826" s="492"/>
      <c r="BC1826" s="492"/>
      <c r="BD1826" s="492"/>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3" t="s">
        <v>262</v>
      </c>
    </row>
    <row r="1827" spans="1:78" s="142" customFormat="1" ht="12.75" hidden="1" customHeight="1" thickBot="1">
      <c r="A1827" s="808"/>
      <c r="B1827" s="166"/>
      <c r="C1827" s="777" t="s">
        <v>196</v>
      </c>
      <c r="D1827" s="512" t="str">
        <f>Translations!$B$622</f>
        <v>VD:</v>
      </c>
      <c r="E1827" s="513"/>
      <c r="F1827" s="402"/>
      <c r="G1827" s="1532" t="str">
        <f>IF(OR(ISBLANK(F1827),F1827=EUconst_NoTier),"",IF(Z1827=0,EUconst_NA,IF(ISERROR(Z1827),"",Z1827)))</f>
        <v/>
      </c>
      <c r="H1827" s="1533"/>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0"/>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0"/>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0"/>
      <c r="AV1827" s="492" t="s">
        <v>314</v>
      </c>
      <c r="AW1827" s="492" t="s">
        <v>319</v>
      </c>
      <c r="AX1827" s="524"/>
      <c r="AY1827" s="30" t="s">
        <v>542</v>
      </c>
      <c r="AZ1827" s="30"/>
      <c r="BA1827" s="30"/>
      <c r="BB1827" s="504"/>
      <c r="BC1827" s="493" t="str">
        <f>EUconst_Fuel</f>
        <v>Degimas</v>
      </c>
      <c r="BD1827" s="493" t="str">
        <f>EUconst_ProcessCarbonate</f>
        <v>Proceso metu išsiskiriančios ŠESD</v>
      </c>
      <c r="BE1827" s="493"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4" t="b">
        <f>BZ1822</f>
        <v>1</v>
      </c>
    </row>
    <row r="1828" spans="1:78" s="142" customFormat="1" ht="5.0999999999999996" hidden="1" customHeight="1">
      <c r="A1828" s="808"/>
      <c r="B1828" s="166"/>
      <c r="C1828" s="814"/>
      <c r="D1828" s="306"/>
      <c r="F1828" s="143"/>
      <c r="G1828" s="143"/>
      <c r="H1828" s="143" t="s">
        <v>236</v>
      </c>
      <c r="I1828" s="525"/>
      <c r="J1828" s="525"/>
      <c r="K1828" s="143"/>
      <c r="L1828" s="143"/>
      <c r="M1828" s="710"/>
      <c r="O1828" s="733"/>
      <c r="P1828" s="33"/>
      <c r="Q1828" s="33"/>
      <c r="R1828" s="33"/>
      <c r="S1828" s="30"/>
      <c r="T1828" s="155"/>
      <c r="U1828" s="497"/>
      <c r="V1828" s="30"/>
      <c r="W1828" s="30"/>
      <c r="X1828" s="497"/>
      <c r="Y1828" s="526"/>
      <c r="Z1828" s="30"/>
      <c r="AA1828" s="30"/>
      <c r="AB1828" s="30"/>
      <c r="AC1828" s="30"/>
      <c r="AD1828" s="30"/>
      <c r="AE1828" s="30"/>
      <c r="AF1828" s="30"/>
      <c r="AG1828" s="30"/>
      <c r="AH1828" s="30"/>
      <c r="AI1828" s="30"/>
      <c r="AJ1828" s="30"/>
      <c r="AK1828" s="30"/>
      <c r="AL1828" s="342"/>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3"/>
    </row>
    <row r="1829" spans="1:78" s="142" customFormat="1" ht="12.75" hidden="1" customHeight="1" thickBot="1">
      <c r="A1829" s="808"/>
      <c r="B1829" s="166"/>
      <c r="C1829" s="814" t="s">
        <v>197</v>
      </c>
      <c r="D1829" s="512" t="str">
        <f>Translations!$B$634</f>
        <v>(prelim.) ITF:</v>
      </c>
      <c r="E1829" s="513"/>
      <c r="F1829" s="527"/>
      <c r="G1829" s="1532" t="str">
        <f t="shared" ref="G1829:G1835" si="455">IF(OR(ISBLANK(F1829),F1829=EUconst_NoTier),"",IF(Z1829=0,EUconst_NotApplicable,IF(ISERROR(Z1829),"",Z1829)))</f>
        <v/>
      </c>
      <c r="H1829" s="1556"/>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3"/>
      <c r="Q1829" s="33"/>
      <c r="R1829" s="33"/>
      <c r="S1829" s="30"/>
      <c r="T1829" s="530" t="str">
        <f>EUconst_CNTR_EF&amp;E1818</f>
        <v>EF_</v>
      </c>
      <c r="U1829" s="497"/>
      <c r="V1829" s="531" t="str">
        <f>V1827</f>
        <v/>
      </c>
      <c r="W1829" s="30"/>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0"/>
      <c r="AC1829" s="535" t="b">
        <f>AND(AC1827,Y1829&lt;&gt;EUconst_NA)</f>
        <v>0</v>
      </c>
      <c r="AD1829" s="30"/>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0"/>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0"/>
      <c r="BA1829" s="30"/>
      <c r="BB1829" s="547" t="s">
        <v>594</v>
      </c>
      <c r="BC1829" s="546" t="str">
        <f>IF(K1817=BC1827,AR1827*IF(AJ1829=EUconst_tCO2pTJ,(AR1830/1000),1)*AR1829*AR1831*AR1835,"")</f>
        <v/>
      </c>
      <c r="BD1829" s="524" t="str">
        <f>IF(K1817=BD1827,AR1827*AR1829*AR1832*AR1835,"")</f>
        <v/>
      </c>
      <c r="BE1829" s="523"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1" t="b">
        <f>OR(BZ1827,Y1829=EUconst_NA)</f>
        <v>1</v>
      </c>
    </row>
    <row r="1830" spans="1:78" s="142" customFormat="1" ht="12.75" hidden="1" customHeight="1" thickBot="1">
      <c r="A1830" s="808"/>
      <c r="B1830" s="166"/>
      <c r="C1830" s="814" t="s">
        <v>198</v>
      </c>
      <c r="D1830" s="512" t="str">
        <f>Translations!$B$636</f>
        <v>GŠV:</v>
      </c>
      <c r="E1830" s="513"/>
      <c r="F1830" s="548"/>
      <c r="G1830" s="1532" t="str">
        <f t="shared" si="455"/>
        <v/>
      </c>
      <c r="H1830" s="1533"/>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3"/>
      <c r="Q1830" s="33"/>
      <c r="R1830" s="33"/>
      <c r="S1830" s="30"/>
      <c r="T1830" s="552" t="str">
        <f>EUconst_CNTR_NCV&amp;E1818</f>
        <v>NCV_</v>
      </c>
      <c r="U1830" s="497"/>
      <c r="V1830" s="553" t="str">
        <f t="shared" ref="V1830:V1835" si="461">V1829</f>
        <v/>
      </c>
      <c r="W1830" s="30"/>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0"/>
      <c r="AC1830" s="557" t="b">
        <f>AND(AC1827,Y1830&lt;&gt;EUconst_NA)</f>
        <v>0</v>
      </c>
      <c r="AD1830" s="30"/>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0"/>
      <c r="AV1830" s="567" t="b">
        <f t="shared" si="458"/>
        <v>0</v>
      </c>
      <c r="AW1830" s="568" t="b">
        <f t="shared" si="459"/>
        <v>0</v>
      </c>
      <c r="AX1830" s="30"/>
      <c r="AY1830" s="553" t="b">
        <f t="shared" si="460"/>
        <v>0</v>
      </c>
      <c r="AZ1830" s="30"/>
      <c r="BA1830" s="30"/>
      <c r="BB1830" s="547" t="s">
        <v>595</v>
      </c>
      <c r="BC1830" s="546" t="str">
        <f>IF(K1817=BC1827,AR1827*IF(AJ1829=EUconst_tCO2pTJ,(AR1830/1000),1)*AR1829*AR1831*AR1834,"")</f>
        <v/>
      </c>
      <c r="BD1830" s="524" t="str">
        <f>IF(K1817=BD1827,AR1827*AR1829*AR1832*AR1834,"")</f>
        <v/>
      </c>
      <c r="BE1830" s="523"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3" t="b">
        <f>OR(BZ1827,Y1830=EUconst_NA)</f>
        <v>1</v>
      </c>
    </row>
    <row r="1831" spans="1:78" s="142" customFormat="1" ht="12.75" hidden="1" customHeight="1" thickBot="1">
      <c r="A1831" s="808"/>
      <c r="B1831" s="166"/>
      <c r="C1831" s="814" t="s">
        <v>199</v>
      </c>
      <c r="D1831" s="512" t="str">
        <f>Translations!$B$638</f>
        <v>OksK:</v>
      </c>
      <c r="E1831" s="513"/>
      <c r="F1831" s="548"/>
      <c r="G1831" s="1532" t="str">
        <f t="shared" si="455"/>
        <v/>
      </c>
      <c r="H1831" s="1533"/>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3"/>
      <c r="Q1831" s="33"/>
      <c r="R1831" s="33"/>
      <c r="S1831" s="30"/>
      <c r="T1831" s="552" t="str">
        <f>EUconst_CNTR_OxidationFactor&amp;E1818</f>
        <v>OxF_</v>
      </c>
      <c r="U1831" s="497"/>
      <c r="V1831" s="553" t="str">
        <f t="shared" si="461"/>
        <v/>
      </c>
      <c r="W1831" s="30"/>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0"/>
      <c r="AC1831" s="557" t="b">
        <f>AND(AC1827,Y1831&lt;&gt;EUconst_NA)</f>
        <v>0</v>
      </c>
      <c r="AD1831" s="30"/>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0"/>
      <c r="AV1831" s="567" t="b">
        <f t="shared" si="458"/>
        <v>0</v>
      </c>
      <c r="AW1831" s="568" t="b">
        <f t="shared" si="459"/>
        <v>0</v>
      </c>
      <c r="AX1831" s="30"/>
      <c r="AY1831" s="594" t="b">
        <f t="shared" si="460"/>
        <v>0</v>
      </c>
      <c r="AZ1831" s="531" t="b">
        <f>AR1831&gt;100%</f>
        <v>0</v>
      </c>
      <c r="BA1831" s="30"/>
      <c r="BB1831" s="547" t="s">
        <v>290</v>
      </c>
      <c r="BC1831" s="546" t="str">
        <f>IF(K1817=BC1827,AR1827*IF(AJ1829=EUconst_tCO2pTJ,(AR1830/1000),1)*AR1829*AR1831*(1-AR1834),"")</f>
        <v/>
      </c>
      <c r="BD1831" s="524" t="str">
        <f>IF(K1817=BD1827,AR1827*AR1829*AR1832*(1-AR1834),"")</f>
        <v/>
      </c>
      <c r="BE1831" s="523"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3" t="b">
        <f>OR(BZ1827,Y1831=EUconst_NA)</f>
        <v>1</v>
      </c>
    </row>
    <row r="1832" spans="1:78" s="142" customFormat="1" ht="12.75" hidden="1" customHeight="1" thickBot="1">
      <c r="A1832" s="808"/>
      <c r="B1832" s="166"/>
      <c r="C1832" s="814" t="s">
        <v>200</v>
      </c>
      <c r="D1832" s="512" t="str">
        <f>Translations!$B$639</f>
        <v>KonvK:</v>
      </c>
      <c r="E1832" s="513"/>
      <c r="F1832" s="548"/>
      <c r="G1832" s="1532" t="str">
        <f t="shared" si="455"/>
        <v/>
      </c>
      <c r="H1832" s="1533"/>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3"/>
      <c r="Q1832" s="33"/>
      <c r="R1832" s="33"/>
      <c r="S1832" s="30"/>
      <c r="T1832" s="552" t="str">
        <f>EUconst_CNTR_ConversionFactor&amp;E1818</f>
        <v>ConvF_</v>
      </c>
      <c r="U1832" s="497"/>
      <c r="V1832" s="553" t="str">
        <f t="shared" si="461"/>
        <v/>
      </c>
      <c r="W1832" s="30"/>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0"/>
      <c r="AC1832" s="557" t="b">
        <f>AND(AC1827,Y1832&lt;&gt;EUconst_NA)</f>
        <v>0</v>
      </c>
      <c r="AD1832" s="30"/>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0"/>
      <c r="AV1832" s="567" t="b">
        <f t="shared" si="458"/>
        <v>0</v>
      </c>
      <c r="AW1832" s="568" t="b">
        <f t="shared" si="459"/>
        <v>0</v>
      </c>
      <c r="AX1832" s="30"/>
      <c r="AY1832" s="594" t="b">
        <f t="shared" si="460"/>
        <v>0</v>
      </c>
      <c r="AZ1832" s="580" t="b">
        <f>AR1832&gt;100%</f>
        <v>0</v>
      </c>
      <c r="BA1832" s="30"/>
      <c r="BB1832" s="578" t="s">
        <v>487</v>
      </c>
      <c r="BC1832" s="579">
        <f>AR1827*AR1830/1000*(1-AR1834)</f>
        <v>0</v>
      </c>
      <c r="BD1832" s="580">
        <f>BC1832</f>
        <v>0</v>
      </c>
      <c r="BE1832" s="581">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3" t="b">
        <f>OR(BZ1827,Y1832=EUconst_NA)</f>
        <v>1</v>
      </c>
    </row>
    <row r="1833" spans="1:78" s="142" customFormat="1" ht="12.75" hidden="1" customHeight="1" thickBot="1">
      <c r="A1833" s="808"/>
      <c r="B1833" s="166"/>
      <c r="C1833" s="814" t="s">
        <v>329</v>
      </c>
      <c r="D1833" s="512" t="str">
        <f>Translations!$B$640</f>
        <v>AnglK:</v>
      </c>
      <c r="E1833" s="513"/>
      <c r="F1833" s="548"/>
      <c r="G1833" s="1532" t="str">
        <f t="shared" si="455"/>
        <v/>
      </c>
      <c r="H1833" s="1533"/>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3"/>
      <c r="Q1833" s="33"/>
      <c r="R1833" s="33"/>
      <c r="S1833" s="30"/>
      <c r="T1833" s="552" t="str">
        <f>EUconst_CNTR_CarbonContent&amp;E1818</f>
        <v>CarbC_</v>
      </c>
      <c r="U1833" s="497"/>
      <c r="V1833" s="553" t="str">
        <f t="shared" si="461"/>
        <v/>
      </c>
      <c r="W1833" s="30"/>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0"/>
      <c r="AC1833" s="557" t="b">
        <f>AND(AC1827,Y1833&lt;&gt;EUconst_NA)</f>
        <v>0</v>
      </c>
      <c r="AD1833" s="30"/>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0"/>
      <c r="AV1833" s="567" t="b">
        <f t="shared" si="458"/>
        <v>0</v>
      </c>
      <c r="AW1833" s="568" t="b">
        <f t="shared" si="459"/>
        <v>0</v>
      </c>
      <c r="AX1833" s="546" t="b">
        <f>OR(AND(AJ1827=EUconst_kNm3,AJ1833=EUconst_tCpt),AND(AJ1827=EUconst_t,AJ1833=EUconst_tCpkNm3))</f>
        <v>0</v>
      </c>
      <c r="AY1833" s="553" t="b">
        <f t="shared" si="460"/>
        <v>0</v>
      </c>
      <c r="AZ1833" s="30"/>
      <c r="BA1833" s="30"/>
      <c r="BB1833" s="578" t="s">
        <v>488</v>
      </c>
      <c r="BC1833" s="579">
        <f>AR1827*AR1830/1000*AR1834</f>
        <v>0</v>
      </c>
      <c r="BD1833" s="580">
        <f>BC1833</f>
        <v>0</v>
      </c>
      <c r="BE1833" s="581">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3" t="b">
        <f>OR(BZ1827,Y1833=EUconst_NA)</f>
        <v>1</v>
      </c>
    </row>
    <row r="1834" spans="1:78" s="142" customFormat="1" ht="12.75" hidden="1" customHeight="1">
      <c r="A1834" s="808"/>
      <c r="B1834" s="166"/>
      <c r="C1834" s="777" t="s">
        <v>330</v>
      </c>
      <c r="D1834" s="512" t="str">
        <f>Translations!$B$641</f>
        <v>BioC:</v>
      </c>
      <c r="E1834" s="513"/>
      <c r="F1834" s="548"/>
      <c r="G1834" s="1532" t="str">
        <f t="shared" si="455"/>
        <v/>
      </c>
      <c r="H1834" s="1533"/>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0"/>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0"/>
      <c r="AC1834" s="557" t="b">
        <f>AND(AC1827,Y1834&lt;&gt;EUconst_NA)</f>
        <v>0</v>
      </c>
      <c r="AD1834" s="30"/>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0"/>
      <c r="AV1834" s="567" t="b">
        <f t="shared" si="458"/>
        <v>0</v>
      </c>
      <c r="AW1834" s="568" t="b">
        <f t="shared" si="459"/>
        <v>0</v>
      </c>
      <c r="AX1834" s="30"/>
      <c r="AY1834" s="594" t="b">
        <f t="shared" si="460"/>
        <v>0</v>
      </c>
      <c r="AZ1834" s="531"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3" t="b">
        <f>OR(BZ1827,Y1834=EUconst_NA)</f>
        <v>1</v>
      </c>
    </row>
    <row r="1835" spans="1:78" s="142" customFormat="1" ht="12.75" hidden="1" customHeight="1" thickBot="1">
      <c r="A1835" s="808"/>
      <c r="B1835" s="166"/>
      <c r="C1835" s="777" t="s">
        <v>454</v>
      </c>
      <c r="D1835" s="512" t="str">
        <f>Translations!$B$647</f>
        <v>Netvar. BioC:</v>
      </c>
      <c r="E1835" s="513"/>
      <c r="F1835" s="597"/>
      <c r="G1835" s="1532" t="str">
        <f t="shared" si="455"/>
        <v/>
      </c>
      <c r="H1835" s="1533"/>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0"/>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0"/>
      <c r="AC1835" s="603" t="b">
        <f>AND(AC1827,Y1835&lt;&gt;EUconst_NA)</f>
        <v>0</v>
      </c>
      <c r="AD1835" s="30"/>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0"/>
      <c r="AV1835" s="613" t="b">
        <f t="shared" si="458"/>
        <v>0</v>
      </c>
      <c r="AW1835" s="614" t="b">
        <f t="shared" si="459"/>
        <v>0</v>
      </c>
      <c r="AX1835" s="30"/>
      <c r="AY1835" s="579" t="b">
        <f t="shared" si="460"/>
        <v>0</v>
      </c>
      <c r="AZ1835" s="580"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80" t="b">
        <f>OR(BZ1827,Y1835=EUconst_NA)</f>
        <v>1</v>
      </c>
    </row>
    <row r="1836" spans="1:78" s="142" customFormat="1" ht="4.5" hidden="1" customHeight="1">
      <c r="A1836" s="808"/>
      <c r="B1836" s="166"/>
      <c r="C1836" s="166"/>
      <c r="D1836" s="180"/>
      <c r="O1836" s="733"/>
      <c r="P1836" s="33"/>
      <c r="Q1836" s="33"/>
      <c r="R1836" s="33"/>
      <c r="S1836" s="174"/>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hidden="1" customHeight="1">
      <c r="A1837" s="808"/>
      <c r="B1837" s="166"/>
      <c r="C1837" s="166"/>
      <c r="D1837" s="1558" t="str">
        <f>Translations!$B$674</f>
        <v>Pakopos galioja nuo:</v>
      </c>
      <c r="E1837" s="1558"/>
      <c r="F1837" s="1559"/>
      <c r="G1837" s="1052"/>
      <c r="H1837" s="615" t="str">
        <f>Translations!$B$675</f>
        <v>iki:</v>
      </c>
      <c r="I1837" s="1052"/>
      <c r="J1837" s="1536" t="str">
        <f>Translations!$B$676</f>
        <v>Atliekų katalogo numeris (jeigu taikytina):</v>
      </c>
      <c r="K1837" s="1537"/>
      <c r="L1837" s="1537"/>
      <c r="M1837" s="1538"/>
      <c r="N1837" s="1289"/>
      <c r="O1837" s="733"/>
      <c r="P1837" s="33"/>
      <c r="Q1837" s="33"/>
      <c r="R1837" s="33"/>
      <c r="S1837" s="1290"/>
      <c r="T1837" s="492"/>
      <c r="U1837" s="492"/>
      <c r="V1837" s="48" t="b">
        <f>IF(V1827="",FALSE,INDEX(CNTR_IsWaste,MATCH(V1827,MSParameters!$A$218:$A$376,0)))</f>
        <v>0</v>
      </c>
      <c r="W1837" s="1290"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hidden="1" customHeight="1">
      <c r="A1838" s="808"/>
      <c r="B1838" s="166"/>
      <c r="C1838" s="166"/>
      <c r="D1838" s="615"/>
      <c r="E1838" s="495"/>
      <c r="F1838" s="495"/>
      <c r="G1838" s="495"/>
      <c r="H1838" s="495"/>
      <c r="I1838" s="495"/>
      <c r="J1838" s="495"/>
      <c r="K1838" s="495"/>
      <c r="L1838" s="495"/>
      <c r="M1838" s="495"/>
      <c r="N1838" s="495"/>
      <c r="O1838" s="733"/>
      <c r="P1838" s="33"/>
      <c r="Q1838" s="33"/>
      <c r="R1838" s="33"/>
      <c r="S1838" s="174"/>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hidden="1" customHeight="1">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3"/>
      <c r="Q1839" s="33"/>
      <c r="R1839" s="33"/>
      <c r="S1839" s="174"/>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hidden="1" customHeight="1">
      <c r="A1840" s="815"/>
      <c r="D1840" s="180"/>
      <c r="O1840" s="573"/>
      <c r="P1840" s="497"/>
      <c r="Q1840" s="497"/>
      <c r="R1840" s="497"/>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hidden="1">
      <c r="A1841" s="815"/>
      <c r="D1841" s="1534" t="str">
        <f>Translations!$B$160</f>
        <v>Pastabos:</v>
      </c>
      <c r="E1841" s="1535"/>
      <c r="F1841" s="1539"/>
      <c r="G1841" s="1540"/>
      <c r="H1841" s="1540"/>
      <c r="I1841" s="1540"/>
      <c r="J1841" s="1540"/>
      <c r="K1841" s="1540"/>
      <c r="L1841" s="1540"/>
      <c r="M1841" s="1540"/>
      <c r="N1841" s="1541"/>
      <c r="O1841" s="573"/>
      <c r="P1841" s="497"/>
      <c r="Q1841" s="497"/>
      <c r="R1841" s="497"/>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c r="A1842" s="808"/>
      <c r="B1842" s="495"/>
      <c r="C1842" s="499"/>
      <c r="D1842" s="500"/>
      <c r="E1842" s="501"/>
      <c r="F1842" s="499"/>
      <c r="G1842" s="502"/>
      <c r="H1842" s="502"/>
      <c r="I1842" s="502"/>
      <c r="J1842" s="502"/>
      <c r="K1842" s="502"/>
      <c r="L1842" s="502"/>
      <c r="M1842" s="502"/>
      <c r="N1842" s="502"/>
      <c r="O1842" s="740"/>
      <c r="P1842" s="494"/>
      <c r="Q1842" s="494"/>
      <c r="R1842" s="494"/>
      <c r="S1842" s="58"/>
      <c r="T1842" s="58"/>
      <c r="U1842" s="498"/>
      <c r="V1842" s="58"/>
      <c r="W1842" s="58"/>
      <c r="X1842" s="498"/>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c r="A1843" s="813"/>
      <c r="B1843" s="495"/>
      <c r="C1843" s="495"/>
      <c r="D1843" s="180"/>
      <c r="E1843" s="496"/>
      <c r="F1843" s="495"/>
      <c r="G1843" s="487"/>
      <c r="H1843" s="487"/>
      <c r="I1843" s="487"/>
      <c r="J1843" s="487"/>
      <c r="K1843" s="495"/>
      <c r="L1843" s="487"/>
      <c r="M1843" s="487"/>
      <c r="N1843" s="487"/>
      <c r="O1843" s="740"/>
      <c r="P1843" s="494"/>
      <c r="Q1843" s="494"/>
      <c r="R1843" s="494"/>
      <c r="S1843" s="23"/>
      <c r="T1843" s="27" t="str">
        <f>IF(ISBLANK(E1844),"",MATCH(E1844,CNTR_SourceStreamNames,0))</f>
        <v/>
      </c>
      <c r="U1843" s="618"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1"/>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3" t="s">
        <v>262</v>
      </c>
    </row>
    <row r="1844" spans="1:78" s="142" customFormat="1" ht="15" hidden="1" customHeight="1" thickBot="1">
      <c r="A1844" s="869" t="str">
        <f>IF(E1844="","","PRINT")</f>
        <v/>
      </c>
      <c r="B1844" s="166"/>
      <c r="C1844" s="617">
        <f>C1817+1</f>
        <v>67</v>
      </c>
      <c r="D1844" s="166"/>
      <c r="E1844" s="1542"/>
      <c r="F1844" s="1543"/>
      <c r="G1844" s="1543"/>
      <c r="H1844" s="1543"/>
      <c r="I1844" s="1543"/>
      <c r="J1844" s="1544"/>
      <c r="K1844" s="1545" t="str">
        <f>IF(E1845="","",INDEX(EUwideConstants!$F$353:$F$394,MATCH(E1845,EUConst_TierActivityListNames,0)))</f>
        <v/>
      </c>
      <c r="L1844" s="1546"/>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3"/>
      <c r="T1844" s="509" t="s">
        <v>393</v>
      </c>
      <c r="U1844" s="23"/>
      <c r="V1844" s="78"/>
      <c r="W1844" s="56"/>
      <c r="X1844" s="58"/>
      <c r="Y1844" s="58"/>
      <c r="Z1844" s="58"/>
      <c r="AA1844" s="58"/>
      <c r="AB1844" s="58"/>
      <c r="AC1844" s="58"/>
      <c r="AD1844" s="58"/>
      <c r="AE1844" s="58"/>
      <c r="AF1844" s="58"/>
      <c r="AG1844" s="58"/>
      <c r="AH1844" s="58"/>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6"/>
      <c r="BZ1844" s="619" t="b">
        <f>CNTR_CalcRelevant=EUconst_NotRelevant</f>
        <v>0</v>
      </c>
    </row>
    <row r="1845" spans="1:78" s="142" customFormat="1" ht="15" hidden="1" customHeight="1" thickBot="1">
      <c r="A1845" s="808"/>
      <c r="B1845" s="166"/>
      <c r="C1845" s="166"/>
      <c r="D1845" s="166"/>
      <c r="E1845" s="1547" t="str">
        <f>IF(ISBLANK(E1844),"",IF(INDEX(B_InstallationDescription!$E$71:$E$145,MATCH(U1843,B_InstallationDescription!$D$71:$D$145,0))&gt;0,INDEX(B_InstallationDescription!$E$71:$E$145,MATCH(U1843,B_InstallationDescription!$D$71:$D$145,0)),""))</f>
        <v/>
      </c>
      <c r="F1845" s="1548"/>
      <c r="G1845" s="1548"/>
      <c r="H1845" s="1548"/>
      <c r="I1845" s="1548"/>
      <c r="J1845" s="1549"/>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4"/>
      <c r="AH1845" s="30"/>
      <c r="AI1845" s="30"/>
      <c r="AJ1845" s="504"/>
      <c r="AK1845" s="504"/>
      <c r="AL1845" s="342"/>
      <c r="AM1845" s="27" t="s">
        <v>308</v>
      </c>
      <c r="AN1845" s="505"/>
      <c r="AO1845" s="505"/>
      <c r="AP1845" s="30"/>
      <c r="AQ1845" s="30"/>
      <c r="AR1845" s="30"/>
      <c r="AS1845" s="30"/>
      <c r="AT1845" s="30"/>
      <c r="AU1845" s="30"/>
      <c r="AV1845" s="27" t="s">
        <v>315</v>
      </c>
      <c r="AW1845" s="30"/>
      <c r="AX1845" s="492"/>
      <c r="AY1845" s="30"/>
      <c r="AZ1845" s="30"/>
      <c r="BA1845" s="30"/>
      <c r="BB1845" s="27" t="s">
        <v>219</v>
      </c>
      <c r="BC1845" s="30"/>
      <c r="BD1845" s="30"/>
      <c r="BE1845" s="30"/>
      <c r="BF1845" s="30"/>
      <c r="BG1845" s="27"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0"/>
      <c r="BZ1845" s="30"/>
    </row>
    <row r="1846" spans="1:78" s="142" customFormat="1" ht="5.0999999999999996" hidden="1" customHeight="1">
      <c r="A1846" s="808"/>
      <c r="B1846" s="166"/>
      <c r="C1846" s="166"/>
      <c r="D1846" s="166"/>
      <c r="E1846" s="166"/>
      <c r="F1846" s="166"/>
      <c r="G1846" s="166"/>
      <c r="M1846" s="143"/>
      <c r="N1846" s="143"/>
      <c r="O1846" s="733"/>
      <c r="P1846" s="33"/>
      <c r="Q1846" s="33"/>
      <c r="R1846" s="33"/>
      <c r="S1846" s="23"/>
      <c r="T1846" s="23"/>
      <c r="U1846" s="23"/>
      <c r="V1846" s="78"/>
      <c r="W1846" s="30"/>
      <c r="X1846" s="30"/>
      <c r="Y1846" s="494"/>
      <c r="Z1846" s="30"/>
      <c r="AA1846" s="30"/>
      <c r="AB1846" s="30"/>
      <c r="AC1846" s="30"/>
      <c r="AD1846" s="30"/>
      <c r="AE1846" s="30"/>
      <c r="AF1846" s="58"/>
      <c r="AG1846" s="30"/>
      <c r="AH1846" s="30"/>
      <c r="AI1846" s="30"/>
      <c r="AJ1846" s="504"/>
      <c r="AK1846" s="504"/>
      <c r="AL1846" s="342"/>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hidden="1" customHeight="1" thickBot="1">
      <c r="A1847" s="808"/>
      <c r="B1847" s="166"/>
      <c r="C1847" s="166"/>
      <c r="D1847" s="166"/>
      <c r="E1847" s="1550" t="str">
        <f>IF(E1844="","",IF(T1845=TRUE,HYPERLINK("#JUMP_14",EUconst_MsgGoOnPFC),HYPERLINK("#JUMP_E_8",EUconst_FurtherGuidancePoint1)))</f>
        <v/>
      </c>
      <c r="F1847" s="1550"/>
      <c r="G1847" s="1550"/>
      <c r="H1847" s="1550"/>
      <c r="I1847" s="1550"/>
      <c r="J1847" s="1550"/>
      <c r="K1847" s="1550"/>
      <c r="L1847" s="1550"/>
      <c r="M1847" s="1550"/>
      <c r="N1847" s="143"/>
      <c r="O1847" s="733"/>
      <c r="P1847" s="33"/>
      <c r="Q1847" s="352" t="str">
        <f>EUconst_SumNonSustBioCO2 &amp; "_" &amp; K1844</f>
        <v>SUM_bioNonSustCO2_</v>
      </c>
      <c r="R1847" s="707"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4"/>
      <c r="AK1847" s="504"/>
      <c r="AL1847" s="342"/>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hidden="1" customHeight="1">
      <c r="A1848" s="808"/>
      <c r="B1848" s="166"/>
      <c r="C1848" s="166"/>
      <c r="D1848" s="166"/>
      <c r="E1848" s="166"/>
      <c r="F1848" s="166"/>
      <c r="G1848" s="166"/>
      <c r="M1848" s="143"/>
      <c r="N1848" s="143"/>
      <c r="O1848" s="733"/>
      <c r="P1848" s="23"/>
      <c r="Q1848" s="23"/>
      <c r="R1848" s="23"/>
      <c r="S1848" s="23"/>
      <c r="T1848" s="23"/>
      <c r="U1848" s="23"/>
      <c r="V1848" s="30"/>
      <c r="W1848" s="30"/>
      <c r="X1848" s="30"/>
      <c r="Y1848" s="494"/>
      <c r="Z1848" s="30"/>
      <c r="AA1848" s="30"/>
      <c r="AB1848" s="30"/>
      <c r="AC1848" s="30"/>
      <c r="AD1848" s="30"/>
      <c r="AE1848" s="30"/>
      <c r="AF1848" s="58"/>
      <c r="AG1848" s="30"/>
      <c r="AH1848" s="30"/>
      <c r="AI1848" s="30"/>
      <c r="AJ1848" s="504"/>
      <c r="AK1848" s="504"/>
      <c r="AL1848" s="342"/>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hidden="1" customHeight="1" thickBot="1">
      <c r="A1849" s="808"/>
      <c r="B1849" s="166"/>
      <c r="C1849" s="814" t="s">
        <v>4</v>
      </c>
      <c r="D1849" s="512" t="str">
        <f>Translations!$B$622</f>
        <v>VD:</v>
      </c>
      <c r="E1849" s="1560" t="str">
        <f>Translations!$B$667</f>
        <v>Ar veiklos duomenys gaunami sudedant išmatuotus kiekius (t. y. ne atliekant nuolatinius matavimus)?</v>
      </c>
      <c r="F1849" s="1560"/>
      <c r="G1849" s="1560"/>
      <c r="H1849" s="1560"/>
      <c r="I1849" s="1560"/>
      <c r="J1849" s="1560"/>
      <c r="K1849" s="1560"/>
      <c r="L1849" s="1179"/>
      <c r="M1849" s="507"/>
      <c r="O1849" s="733"/>
      <c r="P1849" s="23"/>
      <c r="Q1849" s="23"/>
      <c r="R1849" s="23"/>
      <c r="S1849" s="23"/>
      <c r="T1849" s="23"/>
      <c r="U1849" s="23"/>
      <c r="V1849" s="30"/>
      <c r="W1849" s="30"/>
      <c r="X1849" s="30"/>
      <c r="Y1849" s="494"/>
      <c r="Z1849" s="30"/>
      <c r="AA1849" s="30"/>
      <c r="AB1849" s="30"/>
      <c r="AC1849" s="1172" t="b">
        <f>AND(E1844&lt;&gt;"",T1845&lt;&gt;TRUE)</f>
        <v>0</v>
      </c>
      <c r="AD1849" s="30"/>
      <c r="AE1849" s="30"/>
      <c r="AF1849" s="58"/>
      <c r="AG1849" s="30"/>
      <c r="AH1849" s="30"/>
      <c r="AI1849" s="30"/>
      <c r="AJ1849" s="504"/>
      <c r="AK1849" s="504"/>
      <c r="AL1849" s="342"/>
      <c r="AM1849" s="30"/>
      <c r="AN1849" s="30"/>
      <c r="AO1849" s="30"/>
      <c r="AP1849" s="30"/>
      <c r="AQ1849" s="30"/>
      <c r="AR1849" s="30"/>
      <c r="AS1849" s="30"/>
      <c r="AT1849" s="1172"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2" t="b">
        <f>OR(CNTR_CalcRelevant=EUconst_NotRelevant,AND(COUNTA(CNTR_ListRelevantSections)&gt;0,OR(T1845=TRUE,E1844="")))</f>
        <v>1</v>
      </c>
    </row>
    <row r="1850" spans="1:78" s="142" customFormat="1" ht="5.0999999999999996" hidden="1" customHeight="1">
      <c r="A1850" s="808"/>
      <c r="B1850" s="166"/>
      <c r="C1850" s="166"/>
      <c r="D1850" s="166"/>
      <c r="E1850" s="166"/>
      <c r="F1850" s="166"/>
      <c r="G1850" s="166"/>
      <c r="H1850" s="495"/>
      <c r="I1850" s="495"/>
      <c r="J1850" s="495"/>
      <c r="K1850" s="495"/>
      <c r="L1850" s="495"/>
      <c r="M1850" s="507"/>
      <c r="O1850" s="733"/>
      <c r="P1850" s="23"/>
      <c r="Q1850" s="23"/>
      <c r="R1850" s="23"/>
      <c r="S1850" s="23"/>
      <c r="T1850" s="23"/>
      <c r="U1850" s="23"/>
      <c r="V1850" s="30"/>
      <c r="W1850" s="30"/>
      <c r="X1850" s="30"/>
      <c r="Y1850" s="494"/>
      <c r="Z1850" s="30"/>
      <c r="AA1850" s="30"/>
      <c r="AB1850" s="30"/>
      <c r="AC1850" s="492"/>
      <c r="AD1850" s="30"/>
      <c r="AE1850" s="30"/>
      <c r="AF1850" s="58"/>
      <c r="AG1850" s="30"/>
      <c r="AH1850" s="30"/>
      <c r="AI1850" s="30"/>
      <c r="AJ1850" s="504"/>
      <c r="AK1850" s="504"/>
      <c r="AL1850" s="342"/>
      <c r="AM1850" s="30"/>
      <c r="AN1850" s="30"/>
      <c r="AO1850" s="30"/>
      <c r="AP1850" s="30"/>
      <c r="AQ1850" s="30"/>
      <c r="AR1850" s="30"/>
      <c r="AS1850" s="30"/>
      <c r="AT1850" s="492"/>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2"/>
    </row>
    <row r="1851" spans="1:78" s="142" customFormat="1" ht="12.75" hidden="1" customHeight="1" thickBot="1">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3"/>
      <c r="Q1851" s="23"/>
      <c r="R1851" s="23"/>
      <c r="S1851" s="23"/>
      <c r="T1851" s="23"/>
      <c r="U1851" s="23"/>
      <c r="V1851" s="30"/>
      <c r="W1851" s="30"/>
      <c r="X1851" s="30"/>
      <c r="Y1851" s="494"/>
      <c r="Z1851" s="30"/>
      <c r="AA1851" s="30"/>
      <c r="AB1851" s="30"/>
      <c r="AC1851" s="1172" t="b">
        <f>AC1849</f>
        <v>0</v>
      </c>
      <c r="AD1851" s="30"/>
      <c r="AE1851" s="30"/>
      <c r="AF1851" s="58"/>
      <c r="AG1851" s="30"/>
      <c r="AH1851" s="30"/>
      <c r="AI1851" s="30"/>
      <c r="AJ1851" s="504"/>
      <c r="AK1851" s="504"/>
      <c r="AL1851" s="342"/>
      <c r="AM1851" s="30"/>
      <c r="AN1851" s="30"/>
      <c r="AO1851" s="30"/>
      <c r="AP1851" s="30"/>
      <c r="AQ1851" s="30"/>
      <c r="AR1851" s="30"/>
      <c r="AS1851" s="30"/>
      <c r="AT1851" s="1172"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2" t="b">
        <f>OR(BZ1849,AND(NOT(ISBLANK(L1849)),L1849=FALSE))</f>
        <v>1</v>
      </c>
    </row>
    <row r="1852" spans="1:78" s="142" customFormat="1" ht="5.0999999999999996" hidden="1" customHeight="1">
      <c r="A1852" s="808"/>
      <c r="B1852" s="166"/>
      <c r="C1852" s="166"/>
      <c r="D1852" s="166"/>
      <c r="E1852" s="166"/>
      <c r="F1852" s="166"/>
      <c r="G1852" s="166"/>
      <c r="M1852" s="143"/>
      <c r="N1852" s="143"/>
      <c r="O1852" s="733"/>
      <c r="P1852" s="23"/>
      <c r="Q1852" s="23"/>
      <c r="R1852" s="23"/>
      <c r="S1852" s="23"/>
      <c r="T1852" s="23"/>
      <c r="U1852" s="23"/>
      <c r="V1852" s="30"/>
      <c r="W1852" s="30"/>
      <c r="X1852" s="30"/>
      <c r="Y1852" s="494"/>
      <c r="Z1852" s="30"/>
      <c r="AA1852" s="30"/>
      <c r="AB1852" s="30"/>
      <c r="AC1852" s="30"/>
      <c r="AD1852" s="30"/>
      <c r="AE1852" s="30"/>
      <c r="AF1852" s="58"/>
      <c r="AG1852" s="30"/>
      <c r="AH1852" s="30"/>
      <c r="AI1852" s="30"/>
      <c r="AJ1852" s="504"/>
      <c r="AK1852" s="504"/>
      <c r="AL1852" s="342"/>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hidden="1" customHeight="1" thickBot="1">
      <c r="A1853" s="808"/>
      <c r="B1853" s="166"/>
      <c r="C1853" s="166"/>
      <c r="D1853" s="166"/>
      <c r="E1853" s="166"/>
      <c r="F1853" s="506" t="str">
        <f>Translations!$B$333</f>
        <v>Pakopa</v>
      </c>
      <c r="G1853" s="1557" t="str">
        <f>Translations!$B$672</f>
        <v>pakopos aprašas</v>
      </c>
      <c r="H1853" s="1557"/>
      <c r="I1853" s="1555" t="str">
        <f>Translations!$B$158</f>
        <v>Vienetas</v>
      </c>
      <c r="J1853" s="1555"/>
      <c r="K1853" s="1555" t="str">
        <f>Translations!$B$673</f>
        <v>Vertė</v>
      </c>
      <c r="L1853" s="1555"/>
      <c r="M1853" s="507" t="str">
        <f>Translations!$B$610</f>
        <v>klaida</v>
      </c>
      <c r="O1853" s="733"/>
      <c r="P1853" s="508"/>
      <c r="Q1853" s="352" t="str">
        <f>EUconst_SumEnergyIN &amp; "_" &amp; K1844</f>
        <v>SUM_EnergyIN_</v>
      </c>
      <c r="R1853" s="399" t="str">
        <f>IF(OR(K1844="",T1845)=TRUE,"",INDEX(BC1859:BE1859,MATCH(K1844,BC1854:BE1854,0)))</f>
        <v/>
      </c>
      <c r="S1853" s="30"/>
      <c r="T1853" s="489"/>
      <c r="U1853" s="30"/>
      <c r="V1853" s="509" t="s">
        <v>303</v>
      </c>
      <c r="W1853" s="30"/>
      <c r="X1853" s="30"/>
      <c r="Y1853" s="494" t="s">
        <v>566</v>
      </c>
      <c r="Z1853" s="494" t="s">
        <v>318</v>
      </c>
      <c r="AA1853" s="30"/>
      <c r="AB1853" s="30"/>
      <c r="AC1853" s="505" t="s">
        <v>309</v>
      </c>
      <c r="AD1853" s="30"/>
      <c r="AE1853" s="30"/>
      <c r="AF1853" s="492" t="s">
        <v>305</v>
      </c>
      <c r="AG1853" s="492" t="s">
        <v>306</v>
      </c>
      <c r="AH1853" s="494" t="s">
        <v>304</v>
      </c>
      <c r="AI1853" s="504" t="s">
        <v>307</v>
      </c>
      <c r="AJ1853" s="504" t="s">
        <v>567</v>
      </c>
      <c r="AK1853" s="510" t="s">
        <v>311</v>
      </c>
      <c r="AL1853" s="342"/>
      <c r="AM1853" s="30"/>
      <c r="AN1853" s="492" t="s">
        <v>305</v>
      </c>
      <c r="AO1853" s="492" t="s">
        <v>306</v>
      </c>
      <c r="AP1853" s="511" t="s">
        <v>310</v>
      </c>
      <c r="AQ1853" s="504" t="s">
        <v>569</v>
      </c>
      <c r="AR1853" s="504" t="s">
        <v>568</v>
      </c>
      <c r="AS1853" s="510" t="s">
        <v>609</v>
      </c>
      <c r="AT1853" s="510" t="s">
        <v>609</v>
      </c>
      <c r="AU1853" s="30"/>
      <c r="AV1853" s="492"/>
      <c r="AW1853" s="492"/>
      <c r="AX1853" s="492" t="s">
        <v>321</v>
      </c>
      <c r="AY1853" s="492"/>
      <c r="AZ1853" s="492"/>
      <c r="BA1853" s="492"/>
      <c r="BB1853" s="492"/>
      <c r="BC1853" s="492"/>
      <c r="BD1853" s="492"/>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3" t="s">
        <v>262</v>
      </c>
    </row>
    <row r="1854" spans="1:78" s="142" customFormat="1" ht="12.75" hidden="1" customHeight="1" thickBot="1">
      <c r="A1854" s="808"/>
      <c r="B1854" s="166"/>
      <c r="C1854" s="777" t="s">
        <v>196</v>
      </c>
      <c r="D1854" s="512" t="str">
        <f>Translations!$B$622</f>
        <v>VD:</v>
      </c>
      <c r="E1854" s="513"/>
      <c r="F1854" s="402"/>
      <c r="G1854" s="1532" t="str">
        <f>IF(OR(ISBLANK(F1854),F1854=EUconst_NoTier),"",IF(Z1854=0,EUconst_NA,IF(ISERROR(Z1854),"",Z1854)))</f>
        <v/>
      </c>
      <c r="H1854" s="1533"/>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0"/>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0"/>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0"/>
      <c r="AV1854" s="492" t="s">
        <v>314</v>
      </c>
      <c r="AW1854" s="492" t="s">
        <v>319</v>
      </c>
      <c r="AX1854" s="524"/>
      <c r="AY1854" s="30" t="s">
        <v>542</v>
      </c>
      <c r="AZ1854" s="30"/>
      <c r="BA1854" s="30"/>
      <c r="BB1854" s="504"/>
      <c r="BC1854" s="493" t="str">
        <f>EUconst_Fuel</f>
        <v>Degimas</v>
      </c>
      <c r="BD1854" s="493" t="str">
        <f>EUconst_ProcessCarbonate</f>
        <v>Proceso metu išsiskiriančios ŠESD</v>
      </c>
      <c r="BE1854" s="493"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4" t="b">
        <f>BZ1849</f>
        <v>1</v>
      </c>
    </row>
    <row r="1855" spans="1:78" s="142" customFormat="1" ht="5.0999999999999996" hidden="1" customHeight="1">
      <c r="A1855" s="808"/>
      <c r="B1855" s="166"/>
      <c r="C1855" s="814"/>
      <c r="D1855" s="306"/>
      <c r="F1855" s="143"/>
      <c r="G1855" s="143"/>
      <c r="H1855" s="143" t="s">
        <v>236</v>
      </c>
      <c r="I1855" s="525"/>
      <c r="J1855" s="525"/>
      <c r="K1855" s="143"/>
      <c r="L1855" s="143"/>
      <c r="M1855" s="710"/>
      <c r="O1855" s="733"/>
      <c r="P1855" s="33"/>
      <c r="Q1855" s="33"/>
      <c r="R1855" s="33"/>
      <c r="S1855" s="30"/>
      <c r="T1855" s="155"/>
      <c r="U1855" s="497"/>
      <c r="V1855" s="30"/>
      <c r="W1855" s="30"/>
      <c r="X1855" s="497"/>
      <c r="Y1855" s="526"/>
      <c r="Z1855" s="30"/>
      <c r="AA1855" s="30"/>
      <c r="AB1855" s="30"/>
      <c r="AC1855" s="30"/>
      <c r="AD1855" s="30"/>
      <c r="AE1855" s="30"/>
      <c r="AF1855" s="30"/>
      <c r="AG1855" s="30"/>
      <c r="AH1855" s="30"/>
      <c r="AI1855" s="30"/>
      <c r="AJ1855" s="30"/>
      <c r="AK1855" s="30"/>
      <c r="AL1855" s="342"/>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3"/>
    </row>
    <row r="1856" spans="1:78" s="142" customFormat="1" ht="12.75" hidden="1" customHeight="1" thickBot="1">
      <c r="A1856" s="808"/>
      <c r="B1856" s="166"/>
      <c r="C1856" s="814" t="s">
        <v>197</v>
      </c>
      <c r="D1856" s="512" t="str">
        <f>Translations!$B$634</f>
        <v>(prelim.) ITF:</v>
      </c>
      <c r="E1856" s="513"/>
      <c r="F1856" s="527"/>
      <c r="G1856" s="1532" t="str">
        <f t="shared" ref="G1856:G1862" si="462">IF(OR(ISBLANK(F1856),F1856=EUconst_NoTier),"",IF(Z1856=0,EUconst_NotApplicable,IF(ISERROR(Z1856),"",Z1856)))</f>
        <v/>
      </c>
      <c r="H1856" s="1556"/>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3"/>
      <c r="Q1856" s="33"/>
      <c r="R1856" s="33"/>
      <c r="S1856" s="30"/>
      <c r="T1856" s="530" t="str">
        <f>EUconst_CNTR_EF&amp;E1845</f>
        <v>EF_</v>
      </c>
      <c r="U1856" s="497"/>
      <c r="V1856" s="531" t="str">
        <f>V1854</f>
        <v/>
      </c>
      <c r="W1856" s="30"/>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0"/>
      <c r="AC1856" s="535" t="b">
        <f>AND(AC1854,Y1856&lt;&gt;EUconst_NA)</f>
        <v>0</v>
      </c>
      <c r="AD1856" s="30"/>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0"/>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0"/>
      <c r="BA1856" s="30"/>
      <c r="BB1856" s="547" t="s">
        <v>594</v>
      </c>
      <c r="BC1856" s="546" t="str">
        <f>IF(K1844=BC1854,AR1854*IF(AJ1856=EUconst_tCO2pTJ,(AR1857/1000),1)*AR1856*AR1858*AR1862,"")</f>
        <v/>
      </c>
      <c r="BD1856" s="524" t="str">
        <f>IF(K1844=BD1854,AR1854*AR1856*AR1859*AR1862,"")</f>
        <v/>
      </c>
      <c r="BE1856" s="523"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1" t="b">
        <f>OR(BZ1854,Y1856=EUconst_NA)</f>
        <v>1</v>
      </c>
    </row>
    <row r="1857" spans="1:78" s="142" customFormat="1" ht="12.75" hidden="1" customHeight="1" thickBot="1">
      <c r="A1857" s="808"/>
      <c r="B1857" s="166"/>
      <c r="C1857" s="814" t="s">
        <v>198</v>
      </c>
      <c r="D1857" s="512" t="str">
        <f>Translations!$B$636</f>
        <v>GŠV:</v>
      </c>
      <c r="E1857" s="513"/>
      <c r="F1857" s="548"/>
      <c r="G1857" s="1532" t="str">
        <f t="shared" si="462"/>
        <v/>
      </c>
      <c r="H1857" s="1533"/>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3"/>
      <c r="Q1857" s="33"/>
      <c r="R1857" s="33"/>
      <c r="S1857" s="30"/>
      <c r="T1857" s="552" t="str">
        <f>EUconst_CNTR_NCV&amp;E1845</f>
        <v>NCV_</v>
      </c>
      <c r="U1857" s="497"/>
      <c r="V1857" s="553" t="str">
        <f t="shared" ref="V1857:V1862" si="468">V1856</f>
        <v/>
      </c>
      <c r="W1857" s="30"/>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0"/>
      <c r="AC1857" s="557" t="b">
        <f>AND(AC1854,Y1857&lt;&gt;EUconst_NA)</f>
        <v>0</v>
      </c>
      <c r="AD1857" s="30"/>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0"/>
      <c r="AV1857" s="567" t="b">
        <f t="shared" si="465"/>
        <v>0</v>
      </c>
      <c r="AW1857" s="568" t="b">
        <f t="shared" si="466"/>
        <v>0</v>
      </c>
      <c r="AX1857" s="30"/>
      <c r="AY1857" s="553" t="b">
        <f t="shared" si="467"/>
        <v>0</v>
      </c>
      <c r="AZ1857" s="30"/>
      <c r="BA1857" s="30"/>
      <c r="BB1857" s="547" t="s">
        <v>595</v>
      </c>
      <c r="BC1857" s="546" t="str">
        <f>IF(K1844=BC1854,AR1854*IF(AJ1856=EUconst_tCO2pTJ,(AR1857/1000),1)*AR1856*AR1858*AR1861,"")</f>
        <v/>
      </c>
      <c r="BD1857" s="524" t="str">
        <f>IF(K1844=BD1854,AR1854*AR1856*AR1859*AR1861,"")</f>
        <v/>
      </c>
      <c r="BE1857" s="523"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3" t="b">
        <f>OR(BZ1854,Y1857=EUconst_NA)</f>
        <v>1</v>
      </c>
    </row>
    <row r="1858" spans="1:78" s="142" customFormat="1" ht="12.75" hidden="1" customHeight="1" thickBot="1">
      <c r="A1858" s="808"/>
      <c r="B1858" s="166"/>
      <c r="C1858" s="814" t="s">
        <v>199</v>
      </c>
      <c r="D1858" s="512" t="str">
        <f>Translations!$B$638</f>
        <v>OksK:</v>
      </c>
      <c r="E1858" s="513"/>
      <c r="F1858" s="548"/>
      <c r="G1858" s="1532" t="str">
        <f t="shared" si="462"/>
        <v/>
      </c>
      <c r="H1858" s="1533"/>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3"/>
      <c r="Q1858" s="33"/>
      <c r="R1858" s="33"/>
      <c r="S1858" s="30"/>
      <c r="T1858" s="552" t="str">
        <f>EUconst_CNTR_OxidationFactor&amp;E1845</f>
        <v>OxF_</v>
      </c>
      <c r="U1858" s="497"/>
      <c r="V1858" s="553" t="str">
        <f t="shared" si="468"/>
        <v/>
      </c>
      <c r="W1858" s="30"/>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0"/>
      <c r="AC1858" s="557" t="b">
        <f>AND(AC1854,Y1858&lt;&gt;EUconst_NA)</f>
        <v>0</v>
      </c>
      <c r="AD1858" s="30"/>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0"/>
      <c r="AV1858" s="567" t="b">
        <f t="shared" si="465"/>
        <v>0</v>
      </c>
      <c r="AW1858" s="568" t="b">
        <f t="shared" si="466"/>
        <v>0</v>
      </c>
      <c r="AX1858" s="30"/>
      <c r="AY1858" s="594" t="b">
        <f t="shared" si="467"/>
        <v>0</v>
      </c>
      <c r="AZ1858" s="531" t="b">
        <f>AR1858&gt;100%</f>
        <v>0</v>
      </c>
      <c r="BA1858" s="30"/>
      <c r="BB1858" s="547" t="s">
        <v>290</v>
      </c>
      <c r="BC1858" s="546" t="str">
        <f>IF(K1844=BC1854,AR1854*IF(AJ1856=EUconst_tCO2pTJ,(AR1857/1000),1)*AR1856*AR1858*(1-AR1861),"")</f>
        <v/>
      </c>
      <c r="BD1858" s="524" t="str">
        <f>IF(K1844=BD1854,AR1854*AR1856*AR1859*(1-AR1861),"")</f>
        <v/>
      </c>
      <c r="BE1858" s="523"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3" t="b">
        <f>OR(BZ1854,Y1858=EUconst_NA)</f>
        <v>1</v>
      </c>
    </row>
    <row r="1859" spans="1:78" s="142" customFormat="1" ht="12.75" hidden="1" customHeight="1" thickBot="1">
      <c r="A1859" s="808"/>
      <c r="B1859" s="166"/>
      <c r="C1859" s="814" t="s">
        <v>200</v>
      </c>
      <c r="D1859" s="512" t="str">
        <f>Translations!$B$639</f>
        <v>KonvK:</v>
      </c>
      <c r="E1859" s="513"/>
      <c r="F1859" s="548"/>
      <c r="G1859" s="1532" t="str">
        <f t="shared" si="462"/>
        <v/>
      </c>
      <c r="H1859" s="1533"/>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3"/>
      <c r="Q1859" s="33"/>
      <c r="R1859" s="33"/>
      <c r="S1859" s="30"/>
      <c r="T1859" s="552" t="str">
        <f>EUconst_CNTR_ConversionFactor&amp;E1845</f>
        <v>ConvF_</v>
      </c>
      <c r="U1859" s="497"/>
      <c r="V1859" s="553" t="str">
        <f t="shared" si="468"/>
        <v/>
      </c>
      <c r="W1859" s="30"/>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0"/>
      <c r="AC1859" s="557" t="b">
        <f>AND(AC1854,Y1859&lt;&gt;EUconst_NA)</f>
        <v>0</v>
      </c>
      <c r="AD1859" s="30"/>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0"/>
      <c r="AV1859" s="567" t="b">
        <f t="shared" si="465"/>
        <v>0</v>
      </c>
      <c r="AW1859" s="568" t="b">
        <f t="shared" si="466"/>
        <v>0</v>
      </c>
      <c r="AX1859" s="30"/>
      <c r="AY1859" s="594" t="b">
        <f t="shared" si="467"/>
        <v>0</v>
      </c>
      <c r="AZ1859" s="580" t="b">
        <f>AR1859&gt;100%</f>
        <v>0</v>
      </c>
      <c r="BA1859" s="30"/>
      <c r="BB1859" s="578" t="s">
        <v>487</v>
      </c>
      <c r="BC1859" s="579">
        <f>AR1854*AR1857/1000*(1-AR1861)</f>
        <v>0</v>
      </c>
      <c r="BD1859" s="580">
        <f>BC1859</f>
        <v>0</v>
      </c>
      <c r="BE1859" s="581">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3" t="b">
        <f>OR(BZ1854,Y1859=EUconst_NA)</f>
        <v>1</v>
      </c>
    </row>
    <row r="1860" spans="1:78" s="142" customFormat="1" ht="12.75" hidden="1" customHeight="1" thickBot="1">
      <c r="A1860" s="808"/>
      <c r="B1860" s="166"/>
      <c r="C1860" s="814" t="s">
        <v>329</v>
      </c>
      <c r="D1860" s="512" t="str">
        <f>Translations!$B$640</f>
        <v>AnglK:</v>
      </c>
      <c r="E1860" s="513"/>
      <c r="F1860" s="548"/>
      <c r="G1860" s="1532" t="str">
        <f t="shared" si="462"/>
        <v/>
      </c>
      <c r="H1860" s="1533"/>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3"/>
      <c r="Q1860" s="33"/>
      <c r="R1860" s="33"/>
      <c r="S1860" s="30"/>
      <c r="T1860" s="552" t="str">
        <f>EUconst_CNTR_CarbonContent&amp;E1845</f>
        <v>CarbC_</v>
      </c>
      <c r="U1860" s="497"/>
      <c r="V1860" s="553" t="str">
        <f t="shared" si="468"/>
        <v/>
      </c>
      <c r="W1860" s="30"/>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0"/>
      <c r="AC1860" s="557" t="b">
        <f>AND(AC1854,Y1860&lt;&gt;EUconst_NA)</f>
        <v>0</v>
      </c>
      <c r="AD1860" s="30"/>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0"/>
      <c r="AV1860" s="567" t="b">
        <f t="shared" si="465"/>
        <v>0</v>
      </c>
      <c r="AW1860" s="568" t="b">
        <f t="shared" si="466"/>
        <v>0</v>
      </c>
      <c r="AX1860" s="546" t="b">
        <f>OR(AND(AJ1854=EUconst_kNm3,AJ1860=EUconst_tCpt),AND(AJ1854=EUconst_t,AJ1860=EUconst_tCpkNm3))</f>
        <v>0</v>
      </c>
      <c r="AY1860" s="553" t="b">
        <f t="shared" si="467"/>
        <v>0</v>
      </c>
      <c r="AZ1860" s="30"/>
      <c r="BA1860" s="30"/>
      <c r="BB1860" s="578" t="s">
        <v>488</v>
      </c>
      <c r="BC1860" s="579">
        <f>AR1854*AR1857/1000*AR1861</f>
        <v>0</v>
      </c>
      <c r="BD1860" s="580">
        <f>BC1860</f>
        <v>0</v>
      </c>
      <c r="BE1860" s="581">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3" t="b">
        <f>OR(BZ1854,Y1860=EUconst_NA)</f>
        <v>1</v>
      </c>
    </row>
    <row r="1861" spans="1:78" s="142" customFormat="1" ht="12.75" hidden="1" customHeight="1">
      <c r="A1861" s="808"/>
      <c r="B1861" s="166"/>
      <c r="C1861" s="777" t="s">
        <v>330</v>
      </c>
      <c r="D1861" s="512" t="str">
        <f>Translations!$B$641</f>
        <v>BioC:</v>
      </c>
      <c r="E1861" s="513"/>
      <c r="F1861" s="548"/>
      <c r="G1861" s="1532" t="str">
        <f t="shared" si="462"/>
        <v/>
      </c>
      <c r="H1861" s="1533"/>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0"/>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0"/>
      <c r="AC1861" s="557" t="b">
        <f>AND(AC1854,Y1861&lt;&gt;EUconst_NA)</f>
        <v>0</v>
      </c>
      <c r="AD1861" s="30"/>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0"/>
      <c r="AV1861" s="567" t="b">
        <f t="shared" si="465"/>
        <v>0</v>
      </c>
      <c r="AW1861" s="568" t="b">
        <f t="shared" si="466"/>
        <v>0</v>
      </c>
      <c r="AX1861" s="30"/>
      <c r="AY1861" s="594" t="b">
        <f t="shared" si="467"/>
        <v>0</v>
      </c>
      <c r="AZ1861" s="531"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3" t="b">
        <f>OR(BZ1854,Y1861=EUconst_NA)</f>
        <v>1</v>
      </c>
    </row>
    <row r="1862" spans="1:78" s="142" customFormat="1" ht="12.75" hidden="1" customHeight="1" thickBot="1">
      <c r="A1862" s="808"/>
      <c r="B1862" s="166"/>
      <c r="C1862" s="777" t="s">
        <v>454</v>
      </c>
      <c r="D1862" s="512" t="str">
        <f>Translations!$B$647</f>
        <v>Netvar. BioC:</v>
      </c>
      <c r="E1862" s="513"/>
      <c r="F1862" s="597"/>
      <c r="G1862" s="1532" t="str">
        <f t="shared" si="462"/>
        <v/>
      </c>
      <c r="H1862" s="1533"/>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0"/>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0"/>
      <c r="AC1862" s="603" t="b">
        <f>AND(AC1854,Y1862&lt;&gt;EUconst_NA)</f>
        <v>0</v>
      </c>
      <c r="AD1862" s="30"/>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0"/>
      <c r="AV1862" s="613" t="b">
        <f t="shared" si="465"/>
        <v>0</v>
      </c>
      <c r="AW1862" s="614" t="b">
        <f t="shared" si="466"/>
        <v>0</v>
      </c>
      <c r="AX1862" s="30"/>
      <c r="AY1862" s="579" t="b">
        <f t="shared" si="467"/>
        <v>0</v>
      </c>
      <c r="AZ1862" s="580"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80" t="b">
        <f>OR(BZ1854,Y1862=EUconst_NA)</f>
        <v>1</v>
      </c>
    </row>
    <row r="1863" spans="1:78" s="142" customFormat="1" ht="5.0999999999999996" hidden="1" customHeight="1">
      <c r="A1863" s="808"/>
      <c r="B1863" s="166"/>
      <c r="C1863" s="166"/>
      <c r="D1863" s="180"/>
      <c r="O1863" s="733"/>
      <c r="P1863" s="33"/>
      <c r="Q1863" s="33"/>
      <c r="R1863" s="33"/>
      <c r="S1863" s="174"/>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hidden="1" customHeight="1">
      <c r="A1864" s="808"/>
      <c r="B1864" s="166"/>
      <c r="C1864" s="166"/>
      <c r="D1864" s="1558" t="str">
        <f>Translations!$B$674</f>
        <v>Pakopos galioja nuo:</v>
      </c>
      <c r="E1864" s="1558"/>
      <c r="F1864" s="1559"/>
      <c r="G1864" s="1052"/>
      <c r="H1864" s="615" t="str">
        <f>Translations!$B$675</f>
        <v>iki:</v>
      </c>
      <c r="I1864" s="1052"/>
      <c r="J1864" s="1536" t="str">
        <f>Translations!$B$676</f>
        <v>Atliekų katalogo numeris (jeigu taikytina):</v>
      </c>
      <c r="K1864" s="1537"/>
      <c r="L1864" s="1537"/>
      <c r="M1864" s="1538"/>
      <c r="N1864" s="1289"/>
      <c r="O1864" s="733"/>
      <c r="P1864" s="33"/>
      <c r="Q1864" s="33"/>
      <c r="R1864" s="33"/>
      <c r="S1864" s="1290"/>
      <c r="T1864" s="492"/>
      <c r="U1864" s="492"/>
      <c r="V1864" s="48" t="b">
        <f>IF(V1854="",FALSE,INDEX(CNTR_IsWaste,MATCH(V1854,MSParameters!$A$218:$A$376,0)))</f>
        <v>0</v>
      </c>
      <c r="W1864" s="1290"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4.5" hidden="1" customHeight="1">
      <c r="A1865" s="808"/>
      <c r="B1865" s="166"/>
      <c r="C1865" s="166"/>
      <c r="D1865" s="615"/>
      <c r="E1865" s="495"/>
      <c r="F1865" s="495"/>
      <c r="G1865" s="495"/>
      <c r="H1865" s="495"/>
      <c r="I1865" s="495"/>
      <c r="J1865" s="495"/>
      <c r="K1865" s="495"/>
      <c r="L1865" s="495"/>
      <c r="M1865" s="495"/>
      <c r="N1865" s="495"/>
      <c r="O1865" s="733"/>
      <c r="P1865" s="33"/>
      <c r="Q1865" s="33"/>
      <c r="R1865" s="33"/>
      <c r="S1865" s="174"/>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9" hidden="1" customHeight="1">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3"/>
      <c r="Q1866" s="33"/>
      <c r="R1866" s="33"/>
      <c r="S1866" s="174"/>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hidden="1" customHeight="1">
      <c r="A1867" s="815"/>
      <c r="D1867" s="180"/>
      <c r="O1867" s="573"/>
      <c r="P1867" s="497"/>
      <c r="Q1867" s="497"/>
      <c r="R1867" s="497"/>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hidden="1">
      <c r="A1868" s="815"/>
      <c r="D1868" s="1534" t="str">
        <f>Translations!$B$160</f>
        <v>Pastabos:</v>
      </c>
      <c r="E1868" s="1535"/>
      <c r="F1868" s="1539"/>
      <c r="G1868" s="1540"/>
      <c r="H1868" s="1540"/>
      <c r="I1868" s="1540"/>
      <c r="J1868" s="1540"/>
      <c r="K1868" s="1540"/>
      <c r="L1868" s="1540"/>
      <c r="M1868" s="1540"/>
      <c r="N1868" s="1541"/>
      <c r="O1868" s="573"/>
      <c r="P1868" s="497"/>
      <c r="Q1868" s="497"/>
      <c r="R1868" s="497"/>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c r="A1869" s="808"/>
      <c r="B1869" s="495"/>
      <c r="C1869" s="499"/>
      <c r="D1869" s="500"/>
      <c r="E1869" s="501"/>
      <c r="F1869" s="499"/>
      <c r="G1869" s="502"/>
      <c r="H1869" s="502"/>
      <c r="I1869" s="502"/>
      <c r="J1869" s="502"/>
      <c r="K1869" s="502"/>
      <c r="L1869" s="502"/>
      <c r="M1869" s="502"/>
      <c r="N1869" s="502"/>
      <c r="O1869" s="740"/>
      <c r="P1869" s="494"/>
      <c r="Q1869" s="494"/>
      <c r="R1869" s="494"/>
      <c r="S1869" s="58"/>
      <c r="T1869" s="58"/>
      <c r="U1869" s="498"/>
      <c r="V1869" s="58"/>
      <c r="W1869" s="58"/>
      <c r="X1869" s="498"/>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c r="A1870" s="813"/>
      <c r="B1870" s="495"/>
      <c r="C1870" s="495"/>
      <c r="D1870" s="180"/>
      <c r="E1870" s="496"/>
      <c r="F1870" s="495"/>
      <c r="G1870" s="487"/>
      <c r="H1870" s="487"/>
      <c r="I1870" s="487"/>
      <c r="J1870" s="487"/>
      <c r="K1870" s="495"/>
      <c r="L1870" s="487"/>
      <c r="M1870" s="487"/>
      <c r="N1870" s="487"/>
      <c r="O1870" s="740"/>
      <c r="P1870" s="494"/>
      <c r="Q1870" s="494"/>
      <c r="R1870" s="494"/>
      <c r="S1870" s="23"/>
      <c r="T1870" s="27" t="str">
        <f>IF(ISBLANK(E1871),"",MATCH(E1871,CNTR_SourceStreamNames,0))</f>
        <v/>
      </c>
      <c r="U1870" s="618"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1"/>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3" t="s">
        <v>262</v>
      </c>
    </row>
    <row r="1871" spans="1:78" s="142" customFormat="1" ht="15" hidden="1" customHeight="1" thickBot="1">
      <c r="A1871" s="869" t="str">
        <f>IF(E1871="","","PRINT")</f>
        <v/>
      </c>
      <c r="B1871" s="166"/>
      <c r="C1871" s="617">
        <f>C1844+1</f>
        <v>68</v>
      </c>
      <c r="D1871" s="166"/>
      <c r="E1871" s="1542"/>
      <c r="F1871" s="1543"/>
      <c r="G1871" s="1543"/>
      <c r="H1871" s="1543"/>
      <c r="I1871" s="1543"/>
      <c r="J1871" s="1544"/>
      <c r="K1871" s="1545" t="str">
        <f>IF(E1872="","",INDEX(EUwideConstants!$F$353:$F$394,MATCH(E1872,EUConst_TierActivityListNames,0)))</f>
        <v/>
      </c>
      <c r="L1871" s="1546"/>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3"/>
      <c r="T1871" s="509" t="s">
        <v>393</v>
      </c>
      <c r="U1871" s="23"/>
      <c r="V1871" s="78"/>
      <c r="W1871" s="56"/>
      <c r="X1871" s="58"/>
      <c r="Y1871" s="58"/>
      <c r="Z1871" s="58"/>
      <c r="AA1871" s="58"/>
      <c r="AB1871" s="58"/>
      <c r="AC1871" s="58"/>
      <c r="AD1871" s="58"/>
      <c r="AE1871" s="58"/>
      <c r="AF1871" s="58"/>
      <c r="AG1871" s="58"/>
      <c r="AH1871" s="58"/>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6"/>
      <c r="BZ1871" s="619" t="b">
        <f>CNTR_CalcRelevant=EUconst_NotRelevant</f>
        <v>0</v>
      </c>
    </row>
    <row r="1872" spans="1:78" s="142" customFormat="1" ht="15" hidden="1" customHeight="1" thickBot="1">
      <c r="A1872" s="808"/>
      <c r="B1872" s="166"/>
      <c r="C1872" s="166"/>
      <c r="D1872" s="166"/>
      <c r="E1872" s="1547" t="str">
        <f>IF(ISBLANK(E1871),"",IF(INDEX(B_InstallationDescription!$E$71:$E$145,MATCH(U1870,B_InstallationDescription!$D$71:$D$145,0))&gt;0,INDEX(B_InstallationDescription!$E$71:$E$145,MATCH(U1870,B_InstallationDescription!$D$71:$D$145,0)),""))</f>
        <v/>
      </c>
      <c r="F1872" s="1548"/>
      <c r="G1872" s="1548"/>
      <c r="H1872" s="1548"/>
      <c r="I1872" s="1548"/>
      <c r="J1872" s="1549"/>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4"/>
      <c r="AH1872" s="30"/>
      <c r="AI1872" s="30"/>
      <c r="AJ1872" s="504"/>
      <c r="AK1872" s="504"/>
      <c r="AL1872" s="342"/>
      <c r="AM1872" s="27" t="s">
        <v>308</v>
      </c>
      <c r="AN1872" s="505"/>
      <c r="AO1872" s="505"/>
      <c r="AP1872" s="30"/>
      <c r="AQ1872" s="30"/>
      <c r="AR1872" s="30"/>
      <c r="AS1872" s="30"/>
      <c r="AT1872" s="30"/>
      <c r="AU1872" s="30"/>
      <c r="AV1872" s="27" t="s">
        <v>315</v>
      </c>
      <c r="AW1872" s="30"/>
      <c r="AX1872" s="492"/>
      <c r="AY1872" s="30"/>
      <c r="AZ1872" s="30"/>
      <c r="BA1872" s="30"/>
      <c r="BB1872" s="27" t="s">
        <v>219</v>
      </c>
      <c r="BC1872" s="30"/>
      <c r="BD1872" s="30"/>
      <c r="BE1872" s="30"/>
      <c r="BF1872" s="30"/>
      <c r="BG1872" s="27"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0"/>
      <c r="BZ1872" s="30"/>
    </row>
    <row r="1873" spans="1:78" s="142" customFormat="1" ht="4.5" hidden="1" customHeight="1">
      <c r="A1873" s="808"/>
      <c r="B1873" s="166"/>
      <c r="C1873" s="166"/>
      <c r="D1873" s="166"/>
      <c r="E1873" s="166"/>
      <c r="F1873" s="166"/>
      <c r="G1873" s="166"/>
      <c r="M1873" s="143"/>
      <c r="N1873" s="143"/>
      <c r="O1873" s="733"/>
      <c r="P1873" s="33"/>
      <c r="Q1873" s="33"/>
      <c r="R1873" s="33"/>
      <c r="S1873" s="23"/>
      <c r="T1873" s="23"/>
      <c r="U1873" s="23"/>
      <c r="V1873" s="78"/>
      <c r="W1873" s="30"/>
      <c r="X1873" s="30"/>
      <c r="Y1873" s="494"/>
      <c r="Z1873" s="30"/>
      <c r="AA1873" s="30"/>
      <c r="AB1873" s="30"/>
      <c r="AC1873" s="30"/>
      <c r="AD1873" s="30"/>
      <c r="AE1873" s="30"/>
      <c r="AF1873" s="58"/>
      <c r="AG1873" s="30"/>
      <c r="AH1873" s="30"/>
      <c r="AI1873" s="30"/>
      <c r="AJ1873" s="504"/>
      <c r="AK1873" s="504"/>
      <c r="AL1873" s="342"/>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hidden="1" customHeight="1" thickBot="1">
      <c r="A1874" s="808"/>
      <c r="B1874" s="166"/>
      <c r="C1874" s="166"/>
      <c r="D1874" s="166"/>
      <c r="E1874" s="1550" t="str">
        <f>IF(E1871="","",IF(T1872=TRUE,HYPERLINK("#JUMP_14",EUconst_MsgGoOnPFC),HYPERLINK("#JUMP_E_8",EUconst_FurtherGuidancePoint1)))</f>
        <v/>
      </c>
      <c r="F1874" s="1550"/>
      <c r="G1874" s="1550"/>
      <c r="H1874" s="1550"/>
      <c r="I1874" s="1550"/>
      <c r="J1874" s="1550"/>
      <c r="K1874" s="1550"/>
      <c r="L1874" s="1550"/>
      <c r="M1874" s="1550"/>
      <c r="N1874" s="143"/>
      <c r="O1874" s="733"/>
      <c r="P1874" s="33"/>
      <c r="Q1874" s="352" t="str">
        <f>EUconst_SumNonSustBioCO2 &amp; "_" &amp; K1871</f>
        <v>SUM_bioNonSustCO2_</v>
      </c>
      <c r="R1874" s="707"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4"/>
      <c r="AK1874" s="504"/>
      <c r="AL1874" s="342"/>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4.5" hidden="1" customHeight="1">
      <c r="A1875" s="808"/>
      <c r="B1875" s="166"/>
      <c r="C1875" s="166"/>
      <c r="D1875" s="166"/>
      <c r="E1875" s="166"/>
      <c r="F1875" s="166"/>
      <c r="G1875" s="166"/>
      <c r="M1875" s="143"/>
      <c r="N1875" s="143"/>
      <c r="O1875" s="733"/>
      <c r="P1875" s="23"/>
      <c r="Q1875" s="23"/>
      <c r="R1875" s="23"/>
      <c r="S1875" s="23"/>
      <c r="T1875" s="23"/>
      <c r="U1875" s="23"/>
      <c r="V1875" s="30"/>
      <c r="W1875" s="30"/>
      <c r="X1875" s="30"/>
      <c r="Y1875" s="494"/>
      <c r="Z1875" s="30"/>
      <c r="AA1875" s="30"/>
      <c r="AB1875" s="30"/>
      <c r="AC1875" s="30"/>
      <c r="AD1875" s="30"/>
      <c r="AE1875" s="30"/>
      <c r="AF1875" s="58"/>
      <c r="AG1875" s="30"/>
      <c r="AH1875" s="30"/>
      <c r="AI1875" s="30"/>
      <c r="AJ1875" s="504"/>
      <c r="AK1875" s="504"/>
      <c r="AL1875" s="342"/>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hidden="1" customHeight="1" thickBot="1">
      <c r="A1876" s="808"/>
      <c r="B1876" s="166"/>
      <c r="C1876" s="814" t="s">
        <v>4</v>
      </c>
      <c r="D1876" s="512" t="str">
        <f>Translations!$B$622</f>
        <v>VD:</v>
      </c>
      <c r="E1876" s="1560" t="str">
        <f>Translations!$B$667</f>
        <v>Ar veiklos duomenys gaunami sudedant išmatuotus kiekius (t. y. ne atliekant nuolatinius matavimus)?</v>
      </c>
      <c r="F1876" s="1560"/>
      <c r="G1876" s="1560"/>
      <c r="H1876" s="1560"/>
      <c r="I1876" s="1560"/>
      <c r="J1876" s="1560"/>
      <c r="K1876" s="1560"/>
      <c r="L1876" s="1179"/>
      <c r="M1876" s="507"/>
      <c r="O1876" s="733"/>
      <c r="P1876" s="23"/>
      <c r="Q1876" s="23"/>
      <c r="R1876" s="23"/>
      <c r="S1876" s="23"/>
      <c r="T1876" s="23"/>
      <c r="U1876" s="23"/>
      <c r="V1876" s="30"/>
      <c r="W1876" s="30"/>
      <c r="X1876" s="30"/>
      <c r="Y1876" s="494"/>
      <c r="Z1876" s="30"/>
      <c r="AA1876" s="30"/>
      <c r="AB1876" s="30"/>
      <c r="AC1876" s="1172" t="b">
        <f>AND(E1871&lt;&gt;"",T1872&lt;&gt;TRUE)</f>
        <v>0</v>
      </c>
      <c r="AD1876" s="30"/>
      <c r="AE1876" s="30"/>
      <c r="AF1876" s="58"/>
      <c r="AG1876" s="30"/>
      <c r="AH1876" s="30"/>
      <c r="AI1876" s="30"/>
      <c r="AJ1876" s="504"/>
      <c r="AK1876" s="504"/>
      <c r="AL1876" s="342"/>
      <c r="AM1876" s="30"/>
      <c r="AN1876" s="30"/>
      <c r="AO1876" s="30"/>
      <c r="AP1876" s="30"/>
      <c r="AQ1876" s="30"/>
      <c r="AR1876" s="30"/>
      <c r="AS1876" s="30"/>
      <c r="AT1876" s="1172"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2" t="b">
        <f>OR(CNTR_CalcRelevant=EUconst_NotRelevant,AND(COUNTA(CNTR_ListRelevantSections)&gt;0,OR(T1872=TRUE,E1871="")))</f>
        <v>1</v>
      </c>
    </row>
    <row r="1877" spans="1:78" s="142" customFormat="1" ht="5.0999999999999996" hidden="1" customHeight="1">
      <c r="A1877" s="808"/>
      <c r="B1877" s="166"/>
      <c r="C1877" s="166"/>
      <c r="D1877" s="166"/>
      <c r="E1877" s="166"/>
      <c r="F1877" s="166"/>
      <c r="G1877" s="166"/>
      <c r="H1877" s="495"/>
      <c r="I1877" s="495"/>
      <c r="J1877" s="495"/>
      <c r="K1877" s="495"/>
      <c r="L1877" s="495"/>
      <c r="M1877" s="507"/>
      <c r="O1877" s="733"/>
      <c r="P1877" s="23"/>
      <c r="Q1877" s="23"/>
      <c r="R1877" s="23"/>
      <c r="S1877" s="23"/>
      <c r="T1877" s="23"/>
      <c r="U1877" s="23"/>
      <c r="V1877" s="30"/>
      <c r="W1877" s="30"/>
      <c r="X1877" s="30"/>
      <c r="Y1877" s="494"/>
      <c r="Z1877" s="30"/>
      <c r="AA1877" s="30"/>
      <c r="AB1877" s="30"/>
      <c r="AC1877" s="492"/>
      <c r="AD1877" s="30"/>
      <c r="AE1877" s="30"/>
      <c r="AF1877" s="58"/>
      <c r="AG1877" s="30"/>
      <c r="AH1877" s="30"/>
      <c r="AI1877" s="30"/>
      <c r="AJ1877" s="504"/>
      <c r="AK1877" s="504"/>
      <c r="AL1877" s="342"/>
      <c r="AM1877" s="30"/>
      <c r="AN1877" s="30"/>
      <c r="AO1877" s="30"/>
      <c r="AP1877" s="30"/>
      <c r="AQ1877" s="30"/>
      <c r="AR1877" s="30"/>
      <c r="AS1877" s="30"/>
      <c r="AT1877" s="492"/>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2"/>
    </row>
    <row r="1878" spans="1:78" s="142" customFormat="1" ht="12.75" hidden="1" customHeight="1" thickBot="1">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3"/>
      <c r="Q1878" s="23"/>
      <c r="R1878" s="23"/>
      <c r="S1878" s="23"/>
      <c r="T1878" s="23"/>
      <c r="U1878" s="23"/>
      <c r="V1878" s="30"/>
      <c r="W1878" s="30"/>
      <c r="X1878" s="30"/>
      <c r="Y1878" s="494"/>
      <c r="Z1878" s="30"/>
      <c r="AA1878" s="30"/>
      <c r="AB1878" s="30"/>
      <c r="AC1878" s="1172" t="b">
        <f>AC1876</f>
        <v>0</v>
      </c>
      <c r="AD1878" s="30"/>
      <c r="AE1878" s="30"/>
      <c r="AF1878" s="58"/>
      <c r="AG1878" s="30"/>
      <c r="AH1878" s="30"/>
      <c r="AI1878" s="30"/>
      <c r="AJ1878" s="504"/>
      <c r="AK1878" s="504"/>
      <c r="AL1878" s="342"/>
      <c r="AM1878" s="30"/>
      <c r="AN1878" s="30"/>
      <c r="AO1878" s="30"/>
      <c r="AP1878" s="30"/>
      <c r="AQ1878" s="30"/>
      <c r="AR1878" s="30"/>
      <c r="AS1878" s="30"/>
      <c r="AT1878" s="1172"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2" t="b">
        <f>OR(BZ1876,AND(NOT(ISBLANK(L1876)),L1876=FALSE))</f>
        <v>1</v>
      </c>
    </row>
    <row r="1879" spans="1:78" s="142" customFormat="1" ht="5.0999999999999996" hidden="1" customHeight="1">
      <c r="A1879" s="808"/>
      <c r="B1879" s="166"/>
      <c r="C1879" s="166"/>
      <c r="D1879" s="166"/>
      <c r="E1879" s="166"/>
      <c r="F1879" s="166"/>
      <c r="G1879" s="166"/>
      <c r="M1879" s="143"/>
      <c r="N1879" s="143"/>
      <c r="O1879" s="733"/>
      <c r="P1879" s="23"/>
      <c r="Q1879" s="23"/>
      <c r="R1879" s="23"/>
      <c r="S1879" s="23"/>
      <c r="T1879" s="23"/>
      <c r="U1879" s="23"/>
      <c r="V1879" s="30"/>
      <c r="W1879" s="30"/>
      <c r="X1879" s="30"/>
      <c r="Y1879" s="494"/>
      <c r="Z1879" s="30"/>
      <c r="AA1879" s="30"/>
      <c r="AB1879" s="30"/>
      <c r="AC1879" s="30"/>
      <c r="AD1879" s="30"/>
      <c r="AE1879" s="30"/>
      <c r="AF1879" s="58"/>
      <c r="AG1879" s="30"/>
      <c r="AH1879" s="30"/>
      <c r="AI1879" s="30"/>
      <c r="AJ1879" s="504"/>
      <c r="AK1879" s="504"/>
      <c r="AL1879" s="342"/>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hidden="1" customHeight="1" thickBot="1">
      <c r="A1880" s="808"/>
      <c r="B1880" s="166"/>
      <c r="C1880" s="166"/>
      <c r="D1880" s="166"/>
      <c r="E1880" s="166"/>
      <c r="F1880" s="506" t="str">
        <f>Translations!$B$333</f>
        <v>Pakopa</v>
      </c>
      <c r="G1880" s="1557" t="str">
        <f>Translations!$B$672</f>
        <v>pakopos aprašas</v>
      </c>
      <c r="H1880" s="1557"/>
      <c r="I1880" s="1555" t="str">
        <f>Translations!$B$158</f>
        <v>Vienetas</v>
      </c>
      <c r="J1880" s="1555"/>
      <c r="K1880" s="1555" t="str">
        <f>Translations!$B$673</f>
        <v>Vertė</v>
      </c>
      <c r="L1880" s="1555"/>
      <c r="M1880" s="507" t="str">
        <f>Translations!$B$610</f>
        <v>klaida</v>
      </c>
      <c r="O1880" s="733"/>
      <c r="P1880" s="508"/>
      <c r="Q1880" s="352" t="str">
        <f>EUconst_SumEnergyIN &amp; "_" &amp; K1871</f>
        <v>SUM_EnergyIN_</v>
      </c>
      <c r="R1880" s="399" t="str">
        <f>IF(OR(K1871="",T1872)=TRUE,"",INDEX(BC1886:BE1886,MATCH(K1871,BC1881:BE1881,0)))</f>
        <v/>
      </c>
      <c r="S1880" s="30"/>
      <c r="T1880" s="489"/>
      <c r="U1880" s="30"/>
      <c r="V1880" s="509" t="s">
        <v>303</v>
      </c>
      <c r="W1880" s="30"/>
      <c r="X1880" s="30"/>
      <c r="Y1880" s="494" t="s">
        <v>566</v>
      </c>
      <c r="Z1880" s="494" t="s">
        <v>318</v>
      </c>
      <c r="AA1880" s="30"/>
      <c r="AB1880" s="30"/>
      <c r="AC1880" s="505" t="s">
        <v>309</v>
      </c>
      <c r="AD1880" s="30"/>
      <c r="AE1880" s="30"/>
      <c r="AF1880" s="492" t="s">
        <v>305</v>
      </c>
      <c r="AG1880" s="492" t="s">
        <v>306</v>
      </c>
      <c r="AH1880" s="494" t="s">
        <v>304</v>
      </c>
      <c r="AI1880" s="504" t="s">
        <v>307</v>
      </c>
      <c r="AJ1880" s="504" t="s">
        <v>567</v>
      </c>
      <c r="AK1880" s="510" t="s">
        <v>311</v>
      </c>
      <c r="AL1880" s="342"/>
      <c r="AM1880" s="30"/>
      <c r="AN1880" s="492" t="s">
        <v>305</v>
      </c>
      <c r="AO1880" s="492" t="s">
        <v>306</v>
      </c>
      <c r="AP1880" s="511" t="s">
        <v>310</v>
      </c>
      <c r="AQ1880" s="504" t="s">
        <v>569</v>
      </c>
      <c r="AR1880" s="504" t="s">
        <v>568</v>
      </c>
      <c r="AS1880" s="510" t="s">
        <v>609</v>
      </c>
      <c r="AT1880" s="510" t="s">
        <v>609</v>
      </c>
      <c r="AU1880" s="30"/>
      <c r="AV1880" s="492"/>
      <c r="AW1880" s="492"/>
      <c r="AX1880" s="492" t="s">
        <v>321</v>
      </c>
      <c r="AY1880" s="492"/>
      <c r="AZ1880" s="492"/>
      <c r="BA1880" s="492"/>
      <c r="BB1880" s="492"/>
      <c r="BC1880" s="492"/>
      <c r="BD1880" s="492"/>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3" t="s">
        <v>262</v>
      </c>
    </row>
    <row r="1881" spans="1:78" s="142" customFormat="1" ht="12.75" hidden="1" customHeight="1" thickBot="1">
      <c r="A1881" s="808"/>
      <c r="B1881" s="166"/>
      <c r="C1881" s="777" t="s">
        <v>196</v>
      </c>
      <c r="D1881" s="512" t="str">
        <f>Translations!$B$622</f>
        <v>VD:</v>
      </c>
      <c r="E1881" s="513"/>
      <c r="F1881" s="402"/>
      <c r="G1881" s="1532" t="str">
        <f>IF(OR(ISBLANK(F1881),F1881=EUconst_NoTier),"",IF(Z1881=0,EUconst_NA,IF(ISERROR(Z1881),"",Z1881)))</f>
        <v/>
      </c>
      <c r="H1881" s="1533"/>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0"/>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0"/>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0"/>
      <c r="AV1881" s="492" t="s">
        <v>314</v>
      </c>
      <c r="AW1881" s="492" t="s">
        <v>319</v>
      </c>
      <c r="AX1881" s="524"/>
      <c r="AY1881" s="30" t="s">
        <v>542</v>
      </c>
      <c r="AZ1881" s="30"/>
      <c r="BA1881" s="30"/>
      <c r="BB1881" s="504"/>
      <c r="BC1881" s="493" t="str">
        <f>EUconst_Fuel</f>
        <v>Degimas</v>
      </c>
      <c r="BD1881" s="493" t="str">
        <f>EUconst_ProcessCarbonate</f>
        <v>Proceso metu išsiskiriančios ŠESD</v>
      </c>
      <c r="BE1881" s="493"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4" t="b">
        <f>BZ1876</f>
        <v>1</v>
      </c>
    </row>
    <row r="1882" spans="1:78" s="142" customFormat="1" ht="4.5" hidden="1" customHeight="1">
      <c r="A1882" s="808"/>
      <c r="B1882" s="166"/>
      <c r="C1882" s="814"/>
      <c r="D1882" s="306"/>
      <c r="F1882" s="143"/>
      <c r="G1882" s="143"/>
      <c r="H1882" s="143" t="s">
        <v>236</v>
      </c>
      <c r="I1882" s="525"/>
      <c r="J1882" s="525"/>
      <c r="K1882" s="143"/>
      <c r="L1882" s="143"/>
      <c r="M1882" s="710"/>
      <c r="O1882" s="733"/>
      <c r="P1882" s="33"/>
      <c r="Q1882" s="33"/>
      <c r="R1882" s="33"/>
      <c r="S1882" s="30"/>
      <c r="T1882" s="155"/>
      <c r="U1882" s="497"/>
      <c r="V1882" s="30"/>
      <c r="W1882" s="30"/>
      <c r="X1882" s="497"/>
      <c r="Y1882" s="526"/>
      <c r="Z1882" s="30"/>
      <c r="AA1882" s="30"/>
      <c r="AB1882" s="30"/>
      <c r="AC1882" s="30"/>
      <c r="AD1882" s="30"/>
      <c r="AE1882" s="30"/>
      <c r="AF1882" s="30"/>
      <c r="AG1882" s="30"/>
      <c r="AH1882" s="30"/>
      <c r="AI1882" s="30"/>
      <c r="AJ1882" s="30"/>
      <c r="AK1882" s="30"/>
      <c r="AL1882" s="342"/>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3"/>
    </row>
    <row r="1883" spans="1:78" s="142" customFormat="1" ht="12.75" hidden="1" customHeight="1" thickBot="1">
      <c r="A1883" s="808"/>
      <c r="B1883" s="166"/>
      <c r="C1883" s="814" t="s">
        <v>197</v>
      </c>
      <c r="D1883" s="512" t="str">
        <f>Translations!$B$634</f>
        <v>(prelim.) ITF:</v>
      </c>
      <c r="E1883" s="513"/>
      <c r="F1883" s="527"/>
      <c r="G1883" s="1532" t="str">
        <f t="shared" ref="G1883:G1889" si="469">IF(OR(ISBLANK(F1883),F1883=EUconst_NoTier),"",IF(Z1883=0,EUconst_NotApplicable,IF(ISERROR(Z1883),"",Z1883)))</f>
        <v/>
      </c>
      <c r="H1883" s="1556"/>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3"/>
      <c r="Q1883" s="33"/>
      <c r="R1883" s="33"/>
      <c r="S1883" s="30"/>
      <c r="T1883" s="530" t="str">
        <f>EUconst_CNTR_EF&amp;E1872</f>
        <v>EF_</v>
      </c>
      <c r="U1883" s="497"/>
      <c r="V1883" s="531" t="str">
        <f>V1881</f>
        <v/>
      </c>
      <c r="W1883" s="30"/>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0"/>
      <c r="AC1883" s="535" t="b">
        <f>AND(AC1881,Y1883&lt;&gt;EUconst_NA)</f>
        <v>0</v>
      </c>
      <c r="AD1883" s="30"/>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0"/>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0"/>
      <c r="BA1883" s="30"/>
      <c r="BB1883" s="547" t="s">
        <v>594</v>
      </c>
      <c r="BC1883" s="546" t="str">
        <f>IF(K1871=BC1881,AR1881*IF(AJ1883=EUconst_tCO2pTJ,(AR1884/1000),1)*AR1883*AR1885*AR1889,"")</f>
        <v/>
      </c>
      <c r="BD1883" s="524" t="str">
        <f>IF(K1871=BD1881,AR1881*AR1883*AR1886*AR1889,"")</f>
        <v/>
      </c>
      <c r="BE1883" s="523"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1" t="b">
        <f>OR(BZ1881,Y1883=EUconst_NA)</f>
        <v>1</v>
      </c>
    </row>
    <row r="1884" spans="1:78" s="142" customFormat="1" ht="12.75" hidden="1" customHeight="1" thickBot="1">
      <c r="A1884" s="808"/>
      <c r="B1884" s="166"/>
      <c r="C1884" s="814" t="s">
        <v>198</v>
      </c>
      <c r="D1884" s="512" t="str">
        <f>Translations!$B$636</f>
        <v>GŠV:</v>
      </c>
      <c r="E1884" s="513"/>
      <c r="F1884" s="548"/>
      <c r="G1884" s="1532" t="str">
        <f t="shared" si="469"/>
        <v/>
      </c>
      <c r="H1884" s="1533"/>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3"/>
      <c r="Q1884" s="33"/>
      <c r="R1884" s="33"/>
      <c r="S1884" s="30"/>
      <c r="T1884" s="552" t="str">
        <f>EUconst_CNTR_NCV&amp;E1872</f>
        <v>NCV_</v>
      </c>
      <c r="U1884" s="497"/>
      <c r="V1884" s="553" t="str">
        <f t="shared" ref="V1884:V1889" si="475">V1883</f>
        <v/>
      </c>
      <c r="W1884" s="30"/>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0"/>
      <c r="AC1884" s="557" t="b">
        <f>AND(AC1881,Y1884&lt;&gt;EUconst_NA)</f>
        <v>0</v>
      </c>
      <c r="AD1884" s="30"/>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0"/>
      <c r="AV1884" s="567" t="b">
        <f t="shared" si="472"/>
        <v>0</v>
      </c>
      <c r="AW1884" s="568" t="b">
        <f t="shared" si="473"/>
        <v>0</v>
      </c>
      <c r="AX1884" s="30"/>
      <c r="AY1884" s="553" t="b">
        <f t="shared" si="474"/>
        <v>0</v>
      </c>
      <c r="AZ1884" s="30"/>
      <c r="BA1884" s="30"/>
      <c r="BB1884" s="547" t="s">
        <v>595</v>
      </c>
      <c r="BC1884" s="546" t="str">
        <f>IF(K1871=BC1881,AR1881*IF(AJ1883=EUconst_tCO2pTJ,(AR1884/1000),1)*AR1883*AR1885*AR1888,"")</f>
        <v/>
      </c>
      <c r="BD1884" s="524" t="str">
        <f>IF(K1871=BD1881,AR1881*AR1883*AR1886*AR1888,"")</f>
        <v/>
      </c>
      <c r="BE1884" s="523"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3" t="b">
        <f>OR(BZ1881,Y1884=EUconst_NA)</f>
        <v>1</v>
      </c>
    </row>
    <row r="1885" spans="1:78" s="142" customFormat="1" ht="12.75" hidden="1" customHeight="1" thickBot="1">
      <c r="A1885" s="808"/>
      <c r="B1885" s="166"/>
      <c r="C1885" s="814" t="s">
        <v>199</v>
      </c>
      <c r="D1885" s="512" t="str">
        <f>Translations!$B$638</f>
        <v>OksK:</v>
      </c>
      <c r="E1885" s="513"/>
      <c r="F1885" s="548"/>
      <c r="G1885" s="1532" t="str">
        <f t="shared" si="469"/>
        <v/>
      </c>
      <c r="H1885" s="1533"/>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3"/>
      <c r="Q1885" s="33"/>
      <c r="R1885" s="33"/>
      <c r="S1885" s="30"/>
      <c r="T1885" s="552" t="str">
        <f>EUconst_CNTR_OxidationFactor&amp;E1872</f>
        <v>OxF_</v>
      </c>
      <c r="U1885" s="497"/>
      <c r="V1885" s="553" t="str">
        <f t="shared" si="475"/>
        <v/>
      </c>
      <c r="W1885" s="30"/>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0"/>
      <c r="AC1885" s="557" t="b">
        <f>AND(AC1881,Y1885&lt;&gt;EUconst_NA)</f>
        <v>0</v>
      </c>
      <c r="AD1885" s="30"/>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0"/>
      <c r="AV1885" s="567" t="b">
        <f t="shared" si="472"/>
        <v>0</v>
      </c>
      <c r="AW1885" s="568" t="b">
        <f t="shared" si="473"/>
        <v>0</v>
      </c>
      <c r="AX1885" s="30"/>
      <c r="AY1885" s="594" t="b">
        <f t="shared" si="474"/>
        <v>0</v>
      </c>
      <c r="AZ1885" s="531" t="b">
        <f>AR1885&gt;100%</f>
        <v>0</v>
      </c>
      <c r="BA1885" s="30"/>
      <c r="BB1885" s="547" t="s">
        <v>290</v>
      </c>
      <c r="BC1885" s="546" t="str">
        <f>IF(K1871=BC1881,AR1881*IF(AJ1883=EUconst_tCO2pTJ,(AR1884/1000),1)*AR1883*AR1885*(1-AR1888),"")</f>
        <v/>
      </c>
      <c r="BD1885" s="524" t="str">
        <f>IF(K1871=BD1881,AR1881*AR1883*AR1886*(1-AR1888),"")</f>
        <v/>
      </c>
      <c r="BE1885" s="523"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3" t="b">
        <f>OR(BZ1881,Y1885=EUconst_NA)</f>
        <v>1</v>
      </c>
    </row>
    <row r="1886" spans="1:78" s="142" customFormat="1" ht="12.75" hidden="1" customHeight="1" thickBot="1">
      <c r="A1886" s="808"/>
      <c r="B1886" s="166"/>
      <c r="C1886" s="814" t="s">
        <v>200</v>
      </c>
      <c r="D1886" s="512" t="str">
        <f>Translations!$B$639</f>
        <v>KonvK:</v>
      </c>
      <c r="E1886" s="513"/>
      <c r="F1886" s="548"/>
      <c r="G1886" s="1532" t="str">
        <f t="shared" si="469"/>
        <v/>
      </c>
      <c r="H1886" s="1533"/>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3"/>
      <c r="Q1886" s="33"/>
      <c r="R1886" s="33"/>
      <c r="S1886" s="30"/>
      <c r="T1886" s="552" t="str">
        <f>EUconst_CNTR_ConversionFactor&amp;E1872</f>
        <v>ConvF_</v>
      </c>
      <c r="U1886" s="497"/>
      <c r="V1886" s="553" t="str">
        <f t="shared" si="475"/>
        <v/>
      </c>
      <c r="W1886" s="30"/>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0"/>
      <c r="AC1886" s="557" t="b">
        <f>AND(AC1881,Y1886&lt;&gt;EUconst_NA)</f>
        <v>0</v>
      </c>
      <c r="AD1886" s="30"/>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0"/>
      <c r="AV1886" s="567" t="b">
        <f t="shared" si="472"/>
        <v>0</v>
      </c>
      <c r="AW1886" s="568" t="b">
        <f t="shared" si="473"/>
        <v>0</v>
      </c>
      <c r="AX1886" s="30"/>
      <c r="AY1886" s="594" t="b">
        <f t="shared" si="474"/>
        <v>0</v>
      </c>
      <c r="AZ1886" s="580" t="b">
        <f>AR1886&gt;100%</f>
        <v>0</v>
      </c>
      <c r="BA1886" s="30"/>
      <c r="BB1886" s="578" t="s">
        <v>487</v>
      </c>
      <c r="BC1886" s="579">
        <f>AR1881*AR1884/1000*(1-AR1888)</f>
        <v>0</v>
      </c>
      <c r="BD1886" s="580">
        <f>BC1886</f>
        <v>0</v>
      </c>
      <c r="BE1886" s="581">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3" t="b">
        <f>OR(BZ1881,Y1886=EUconst_NA)</f>
        <v>1</v>
      </c>
    </row>
    <row r="1887" spans="1:78" s="142" customFormat="1" ht="12.75" hidden="1" customHeight="1" thickBot="1">
      <c r="A1887" s="808"/>
      <c r="B1887" s="166"/>
      <c r="C1887" s="814" t="s">
        <v>329</v>
      </c>
      <c r="D1887" s="512" t="str">
        <f>Translations!$B$640</f>
        <v>AnglK:</v>
      </c>
      <c r="E1887" s="513"/>
      <c r="F1887" s="548"/>
      <c r="G1887" s="1532" t="str">
        <f t="shared" si="469"/>
        <v/>
      </c>
      <c r="H1887" s="1533"/>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3"/>
      <c r="Q1887" s="33"/>
      <c r="R1887" s="33"/>
      <c r="S1887" s="30"/>
      <c r="T1887" s="552" t="str">
        <f>EUconst_CNTR_CarbonContent&amp;E1872</f>
        <v>CarbC_</v>
      </c>
      <c r="U1887" s="497"/>
      <c r="V1887" s="553" t="str">
        <f t="shared" si="475"/>
        <v/>
      </c>
      <c r="W1887" s="30"/>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0"/>
      <c r="AC1887" s="557" t="b">
        <f>AND(AC1881,Y1887&lt;&gt;EUconst_NA)</f>
        <v>0</v>
      </c>
      <c r="AD1887" s="30"/>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0"/>
      <c r="AV1887" s="567" t="b">
        <f t="shared" si="472"/>
        <v>0</v>
      </c>
      <c r="AW1887" s="568" t="b">
        <f t="shared" si="473"/>
        <v>0</v>
      </c>
      <c r="AX1887" s="546" t="b">
        <f>OR(AND(AJ1881=EUconst_kNm3,AJ1887=EUconst_tCpt),AND(AJ1881=EUconst_t,AJ1887=EUconst_tCpkNm3))</f>
        <v>0</v>
      </c>
      <c r="AY1887" s="553" t="b">
        <f t="shared" si="474"/>
        <v>0</v>
      </c>
      <c r="AZ1887" s="30"/>
      <c r="BA1887" s="30"/>
      <c r="BB1887" s="578" t="s">
        <v>488</v>
      </c>
      <c r="BC1887" s="579">
        <f>AR1881*AR1884/1000*AR1888</f>
        <v>0</v>
      </c>
      <c r="BD1887" s="580">
        <f>BC1887</f>
        <v>0</v>
      </c>
      <c r="BE1887" s="581">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3" t="b">
        <f>OR(BZ1881,Y1887=EUconst_NA)</f>
        <v>1</v>
      </c>
    </row>
    <row r="1888" spans="1:78" s="142" customFormat="1" ht="12.75" hidden="1" customHeight="1">
      <c r="A1888" s="808"/>
      <c r="B1888" s="166"/>
      <c r="C1888" s="777" t="s">
        <v>330</v>
      </c>
      <c r="D1888" s="512" t="str">
        <f>Translations!$B$641</f>
        <v>BioC:</v>
      </c>
      <c r="E1888" s="513"/>
      <c r="F1888" s="548"/>
      <c r="G1888" s="1532" t="str">
        <f t="shared" si="469"/>
        <v/>
      </c>
      <c r="H1888" s="1533"/>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0"/>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0"/>
      <c r="AC1888" s="557" t="b">
        <f>AND(AC1881,Y1888&lt;&gt;EUconst_NA)</f>
        <v>0</v>
      </c>
      <c r="AD1888" s="30"/>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0"/>
      <c r="AV1888" s="567" t="b">
        <f t="shared" si="472"/>
        <v>0</v>
      </c>
      <c r="AW1888" s="568" t="b">
        <f t="shared" si="473"/>
        <v>0</v>
      </c>
      <c r="AX1888" s="30"/>
      <c r="AY1888" s="594" t="b">
        <f t="shared" si="474"/>
        <v>0</v>
      </c>
      <c r="AZ1888" s="531"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3" t="b">
        <f>OR(BZ1881,Y1888=EUconst_NA)</f>
        <v>1</v>
      </c>
    </row>
    <row r="1889" spans="1:78" s="142" customFormat="1" ht="12.75" hidden="1" customHeight="1" thickBot="1">
      <c r="A1889" s="808"/>
      <c r="B1889" s="166"/>
      <c r="C1889" s="777" t="s">
        <v>454</v>
      </c>
      <c r="D1889" s="512" t="str">
        <f>Translations!$B$647</f>
        <v>Netvar. BioC:</v>
      </c>
      <c r="E1889" s="513"/>
      <c r="F1889" s="597"/>
      <c r="G1889" s="1532" t="str">
        <f t="shared" si="469"/>
        <v/>
      </c>
      <c r="H1889" s="1533"/>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0"/>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0"/>
      <c r="AC1889" s="603" t="b">
        <f>AND(AC1881,Y1889&lt;&gt;EUconst_NA)</f>
        <v>0</v>
      </c>
      <c r="AD1889" s="30"/>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0"/>
      <c r="AV1889" s="613" t="b">
        <f t="shared" si="472"/>
        <v>0</v>
      </c>
      <c r="AW1889" s="614" t="b">
        <f t="shared" si="473"/>
        <v>0</v>
      </c>
      <c r="AX1889" s="30"/>
      <c r="AY1889" s="579" t="b">
        <f t="shared" si="474"/>
        <v>0</v>
      </c>
      <c r="AZ1889" s="580"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80" t="b">
        <f>OR(BZ1881,Y1889=EUconst_NA)</f>
        <v>1</v>
      </c>
    </row>
    <row r="1890" spans="1:78" s="142" customFormat="1" ht="5.0999999999999996" hidden="1" customHeight="1">
      <c r="A1890" s="808"/>
      <c r="B1890" s="166"/>
      <c r="C1890" s="166"/>
      <c r="D1890" s="180"/>
      <c r="O1890" s="733"/>
      <c r="P1890" s="33"/>
      <c r="Q1890" s="33"/>
      <c r="R1890" s="33"/>
      <c r="S1890" s="174"/>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hidden="1" customHeight="1">
      <c r="A1891" s="808"/>
      <c r="B1891" s="166"/>
      <c r="C1891" s="166"/>
      <c r="D1891" s="1558" t="str">
        <f>Translations!$B$674</f>
        <v>Pakopos galioja nuo:</v>
      </c>
      <c r="E1891" s="1558"/>
      <c r="F1891" s="1559"/>
      <c r="G1891" s="1052"/>
      <c r="H1891" s="615" t="str">
        <f>Translations!$B$675</f>
        <v>iki:</v>
      </c>
      <c r="I1891" s="1052"/>
      <c r="J1891" s="1536" t="str">
        <f>Translations!$B$676</f>
        <v>Atliekų katalogo numeris (jeigu taikytina):</v>
      </c>
      <c r="K1891" s="1537"/>
      <c r="L1891" s="1537"/>
      <c r="M1891" s="1538"/>
      <c r="N1891" s="1289"/>
      <c r="O1891" s="733"/>
      <c r="P1891" s="33"/>
      <c r="Q1891" s="33"/>
      <c r="R1891" s="33"/>
      <c r="S1891" s="1290"/>
      <c r="T1891" s="492"/>
      <c r="U1891" s="492"/>
      <c r="V1891" s="48" t="b">
        <f>IF(V1881="",FALSE,INDEX(CNTR_IsWaste,MATCH(V1881,MSParameters!$A$218:$A$376,0)))</f>
        <v>0</v>
      </c>
      <c r="W1891" s="1290"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4.5" hidden="1" customHeight="1">
      <c r="A1892" s="808"/>
      <c r="B1892" s="166"/>
      <c r="C1892" s="166"/>
      <c r="D1892" s="615"/>
      <c r="E1892" s="495"/>
      <c r="F1892" s="495"/>
      <c r="G1892" s="495"/>
      <c r="H1892" s="495"/>
      <c r="I1892" s="495"/>
      <c r="J1892" s="495"/>
      <c r="K1892" s="495"/>
      <c r="L1892" s="495"/>
      <c r="M1892" s="495"/>
      <c r="N1892" s="495"/>
      <c r="O1892" s="733"/>
      <c r="P1892" s="33"/>
      <c r="Q1892" s="33"/>
      <c r="R1892" s="33"/>
      <c r="S1892" s="174"/>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hidden="1" customHeight="1">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3"/>
      <c r="Q1893" s="33"/>
      <c r="R1893" s="33"/>
      <c r="S1893" s="174"/>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4.5" hidden="1" customHeight="1">
      <c r="A1894" s="815"/>
      <c r="D1894" s="180"/>
      <c r="O1894" s="573"/>
      <c r="P1894" s="497"/>
      <c r="Q1894" s="497"/>
      <c r="R1894" s="497"/>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hidden="1">
      <c r="A1895" s="815"/>
      <c r="D1895" s="1534" t="str">
        <f>Translations!$B$160</f>
        <v>Pastabos:</v>
      </c>
      <c r="E1895" s="1535"/>
      <c r="F1895" s="1539"/>
      <c r="G1895" s="1540"/>
      <c r="H1895" s="1540"/>
      <c r="I1895" s="1540"/>
      <c r="J1895" s="1540"/>
      <c r="K1895" s="1540"/>
      <c r="L1895" s="1540"/>
      <c r="M1895" s="1540"/>
      <c r="N1895" s="1541"/>
      <c r="O1895" s="573"/>
      <c r="P1895" s="497"/>
      <c r="Q1895" s="497"/>
      <c r="R1895" s="497"/>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c r="A1896" s="808"/>
      <c r="B1896" s="495"/>
      <c r="C1896" s="499"/>
      <c r="D1896" s="500"/>
      <c r="E1896" s="501"/>
      <c r="F1896" s="499"/>
      <c r="G1896" s="502"/>
      <c r="H1896" s="502"/>
      <c r="I1896" s="502"/>
      <c r="J1896" s="502"/>
      <c r="K1896" s="502"/>
      <c r="L1896" s="502"/>
      <c r="M1896" s="502"/>
      <c r="N1896" s="502"/>
      <c r="O1896" s="740"/>
      <c r="P1896" s="494"/>
      <c r="Q1896" s="494"/>
      <c r="R1896" s="494"/>
      <c r="S1896" s="58"/>
      <c r="T1896" s="58"/>
      <c r="U1896" s="498"/>
      <c r="V1896" s="58"/>
      <c r="W1896" s="58"/>
      <c r="X1896" s="498"/>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4.5" hidden="1" customHeight="1" thickBot="1">
      <c r="A1897" s="813"/>
      <c r="B1897" s="495"/>
      <c r="C1897" s="495"/>
      <c r="D1897" s="180"/>
      <c r="E1897" s="496"/>
      <c r="F1897" s="495"/>
      <c r="G1897" s="487"/>
      <c r="H1897" s="487"/>
      <c r="I1897" s="487"/>
      <c r="J1897" s="487"/>
      <c r="K1897" s="495"/>
      <c r="L1897" s="487"/>
      <c r="M1897" s="487"/>
      <c r="N1897" s="487"/>
      <c r="O1897" s="740"/>
      <c r="P1897" s="494"/>
      <c r="Q1897" s="494"/>
      <c r="R1897" s="494"/>
      <c r="S1897" s="23"/>
      <c r="T1897" s="27" t="str">
        <f>IF(ISBLANK(E1898),"",MATCH(E1898,CNTR_SourceStreamNames,0))</f>
        <v/>
      </c>
      <c r="U1897" s="618"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1"/>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3" t="s">
        <v>262</v>
      </c>
    </row>
    <row r="1898" spans="1:78" s="142" customFormat="1" ht="15" hidden="1" customHeight="1" thickBot="1">
      <c r="A1898" s="869" t="str">
        <f>IF(E1898="","","PRINT")</f>
        <v/>
      </c>
      <c r="B1898" s="166"/>
      <c r="C1898" s="617">
        <f>C1871+1</f>
        <v>69</v>
      </c>
      <c r="D1898" s="166"/>
      <c r="E1898" s="1542"/>
      <c r="F1898" s="1543"/>
      <c r="G1898" s="1543"/>
      <c r="H1898" s="1543"/>
      <c r="I1898" s="1543"/>
      <c r="J1898" s="1544"/>
      <c r="K1898" s="1545" t="str">
        <f>IF(E1899="","",INDEX(EUwideConstants!$F$353:$F$394,MATCH(E1899,EUConst_TierActivityListNames,0)))</f>
        <v/>
      </c>
      <c r="L1898" s="1546"/>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3"/>
      <c r="T1898" s="509" t="s">
        <v>393</v>
      </c>
      <c r="U1898" s="23"/>
      <c r="V1898" s="78"/>
      <c r="W1898" s="56"/>
      <c r="X1898" s="58"/>
      <c r="Y1898" s="58"/>
      <c r="Z1898" s="58"/>
      <c r="AA1898" s="58"/>
      <c r="AB1898" s="58"/>
      <c r="AC1898" s="58"/>
      <c r="AD1898" s="58"/>
      <c r="AE1898" s="58"/>
      <c r="AF1898" s="58"/>
      <c r="AG1898" s="58"/>
      <c r="AH1898" s="58"/>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6"/>
      <c r="BZ1898" s="619" t="b">
        <f>CNTR_CalcRelevant=EUconst_NotRelevant</f>
        <v>0</v>
      </c>
    </row>
    <row r="1899" spans="1:78" s="142" customFormat="1" ht="15" hidden="1" customHeight="1" thickBot="1">
      <c r="A1899" s="808"/>
      <c r="B1899" s="166"/>
      <c r="C1899" s="166"/>
      <c r="D1899" s="166"/>
      <c r="E1899" s="1547" t="str">
        <f>IF(ISBLANK(E1898),"",IF(INDEX(B_InstallationDescription!$E$71:$E$145,MATCH(U1897,B_InstallationDescription!$D$71:$D$145,0))&gt;0,INDEX(B_InstallationDescription!$E$71:$E$145,MATCH(U1897,B_InstallationDescription!$D$71:$D$145,0)),""))</f>
        <v/>
      </c>
      <c r="F1899" s="1548"/>
      <c r="G1899" s="1548"/>
      <c r="H1899" s="1548"/>
      <c r="I1899" s="1548"/>
      <c r="J1899" s="1549"/>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4"/>
      <c r="AH1899" s="30"/>
      <c r="AI1899" s="30"/>
      <c r="AJ1899" s="504"/>
      <c r="AK1899" s="504"/>
      <c r="AL1899" s="342"/>
      <c r="AM1899" s="27" t="s">
        <v>308</v>
      </c>
      <c r="AN1899" s="505"/>
      <c r="AO1899" s="505"/>
      <c r="AP1899" s="30"/>
      <c r="AQ1899" s="30"/>
      <c r="AR1899" s="30"/>
      <c r="AS1899" s="30"/>
      <c r="AT1899" s="30"/>
      <c r="AU1899" s="30"/>
      <c r="AV1899" s="27" t="s">
        <v>315</v>
      </c>
      <c r="AW1899" s="30"/>
      <c r="AX1899" s="492"/>
      <c r="AY1899" s="30"/>
      <c r="AZ1899" s="30"/>
      <c r="BA1899" s="30"/>
      <c r="BB1899" s="27" t="s">
        <v>219</v>
      </c>
      <c r="BC1899" s="30"/>
      <c r="BD1899" s="30"/>
      <c r="BE1899" s="30"/>
      <c r="BF1899" s="30"/>
      <c r="BG1899" s="27"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0"/>
      <c r="BZ1899" s="30"/>
    </row>
    <row r="1900" spans="1:78" s="142" customFormat="1" ht="4.5" hidden="1" customHeight="1">
      <c r="A1900" s="808"/>
      <c r="B1900" s="166"/>
      <c r="C1900" s="166"/>
      <c r="D1900" s="166"/>
      <c r="E1900" s="166"/>
      <c r="F1900" s="166"/>
      <c r="G1900" s="166"/>
      <c r="M1900" s="143"/>
      <c r="N1900" s="143"/>
      <c r="O1900" s="733"/>
      <c r="P1900" s="33"/>
      <c r="Q1900" s="33"/>
      <c r="R1900" s="33"/>
      <c r="S1900" s="23"/>
      <c r="T1900" s="23"/>
      <c r="U1900" s="23"/>
      <c r="V1900" s="78"/>
      <c r="W1900" s="30"/>
      <c r="X1900" s="30"/>
      <c r="Y1900" s="494"/>
      <c r="Z1900" s="30"/>
      <c r="AA1900" s="30"/>
      <c r="AB1900" s="30"/>
      <c r="AC1900" s="30"/>
      <c r="AD1900" s="30"/>
      <c r="AE1900" s="30"/>
      <c r="AF1900" s="58"/>
      <c r="AG1900" s="30"/>
      <c r="AH1900" s="30"/>
      <c r="AI1900" s="30"/>
      <c r="AJ1900" s="504"/>
      <c r="AK1900" s="504"/>
      <c r="AL1900" s="342"/>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hidden="1" customHeight="1" thickBot="1">
      <c r="A1901" s="808"/>
      <c r="B1901" s="166"/>
      <c r="C1901" s="166"/>
      <c r="D1901" s="166"/>
      <c r="E1901" s="1550" t="str">
        <f>IF(E1898="","",IF(T1899=TRUE,HYPERLINK("#JUMP_14",EUconst_MsgGoOnPFC),HYPERLINK("#JUMP_E_8",EUconst_FurtherGuidancePoint1)))</f>
        <v/>
      </c>
      <c r="F1901" s="1550"/>
      <c r="G1901" s="1550"/>
      <c r="H1901" s="1550"/>
      <c r="I1901" s="1550"/>
      <c r="J1901" s="1550"/>
      <c r="K1901" s="1550"/>
      <c r="L1901" s="1550"/>
      <c r="M1901" s="1550"/>
      <c r="N1901" s="143"/>
      <c r="O1901" s="733"/>
      <c r="P1901" s="33"/>
      <c r="Q1901" s="352" t="str">
        <f>EUconst_SumNonSustBioCO2 &amp; "_" &amp; K1898</f>
        <v>SUM_bioNonSustCO2_</v>
      </c>
      <c r="R1901" s="707"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4"/>
      <c r="AK1901" s="504"/>
      <c r="AL1901" s="342"/>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hidden="1" customHeight="1">
      <c r="A1902" s="808"/>
      <c r="B1902" s="166"/>
      <c r="C1902" s="166"/>
      <c r="D1902" s="166"/>
      <c r="E1902" s="166"/>
      <c r="F1902" s="166"/>
      <c r="G1902" s="166"/>
      <c r="M1902" s="143"/>
      <c r="N1902" s="143"/>
      <c r="O1902" s="733"/>
      <c r="P1902" s="23"/>
      <c r="Q1902" s="23"/>
      <c r="R1902" s="23"/>
      <c r="S1902" s="23"/>
      <c r="T1902" s="23"/>
      <c r="U1902" s="23"/>
      <c r="V1902" s="30"/>
      <c r="W1902" s="30"/>
      <c r="X1902" s="30"/>
      <c r="Y1902" s="494"/>
      <c r="Z1902" s="30"/>
      <c r="AA1902" s="30"/>
      <c r="AB1902" s="30"/>
      <c r="AC1902" s="30"/>
      <c r="AD1902" s="30"/>
      <c r="AE1902" s="30"/>
      <c r="AF1902" s="58"/>
      <c r="AG1902" s="30"/>
      <c r="AH1902" s="30"/>
      <c r="AI1902" s="30"/>
      <c r="AJ1902" s="504"/>
      <c r="AK1902" s="504"/>
      <c r="AL1902" s="342"/>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hidden="1" customHeight="1" thickBot="1">
      <c r="A1903" s="808"/>
      <c r="B1903" s="166"/>
      <c r="C1903" s="814" t="s">
        <v>4</v>
      </c>
      <c r="D1903" s="512" t="str">
        <f>Translations!$B$622</f>
        <v>VD:</v>
      </c>
      <c r="E1903" s="1560" t="str">
        <f>Translations!$B$667</f>
        <v>Ar veiklos duomenys gaunami sudedant išmatuotus kiekius (t. y. ne atliekant nuolatinius matavimus)?</v>
      </c>
      <c r="F1903" s="1560"/>
      <c r="G1903" s="1560"/>
      <c r="H1903" s="1560"/>
      <c r="I1903" s="1560"/>
      <c r="J1903" s="1560"/>
      <c r="K1903" s="1560"/>
      <c r="L1903" s="1179"/>
      <c r="M1903" s="507"/>
      <c r="O1903" s="733"/>
      <c r="P1903" s="23"/>
      <c r="Q1903" s="23"/>
      <c r="R1903" s="23"/>
      <c r="S1903" s="23"/>
      <c r="T1903" s="23"/>
      <c r="U1903" s="23"/>
      <c r="V1903" s="30"/>
      <c r="W1903" s="30"/>
      <c r="X1903" s="30"/>
      <c r="Y1903" s="494"/>
      <c r="Z1903" s="30"/>
      <c r="AA1903" s="30"/>
      <c r="AB1903" s="30"/>
      <c r="AC1903" s="1172" t="b">
        <f>AND(E1898&lt;&gt;"",T1899&lt;&gt;TRUE)</f>
        <v>0</v>
      </c>
      <c r="AD1903" s="30"/>
      <c r="AE1903" s="30"/>
      <c r="AF1903" s="58"/>
      <c r="AG1903" s="30"/>
      <c r="AH1903" s="30"/>
      <c r="AI1903" s="30"/>
      <c r="AJ1903" s="504"/>
      <c r="AK1903" s="504"/>
      <c r="AL1903" s="342"/>
      <c r="AM1903" s="30"/>
      <c r="AN1903" s="30"/>
      <c r="AO1903" s="30"/>
      <c r="AP1903" s="30"/>
      <c r="AQ1903" s="30"/>
      <c r="AR1903" s="30"/>
      <c r="AS1903" s="30"/>
      <c r="AT1903" s="1172"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2" t="b">
        <f>OR(CNTR_CalcRelevant=EUconst_NotRelevant,AND(COUNTA(CNTR_ListRelevantSections)&gt;0,OR(T1899=TRUE,E1898="")))</f>
        <v>1</v>
      </c>
    </row>
    <row r="1904" spans="1:78" s="142" customFormat="1" ht="5.0999999999999996" hidden="1" customHeight="1">
      <c r="A1904" s="808"/>
      <c r="B1904" s="166"/>
      <c r="C1904" s="166"/>
      <c r="D1904" s="166"/>
      <c r="E1904" s="166"/>
      <c r="F1904" s="166"/>
      <c r="G1904" s="166"/>
      <c r="H1904" s="495"/>
      <c r="I1904" s="495"/>
      <c r="J1904" s="495"/>
      <c r="K1904" s="495"/>
      <c r="L1904" s="495"/>
      <c r="M1904" s="507"/>
      <c r="O1904" s="733"/>
      <c r="P1904" s="23"/>
      <c r="Q1904" s="23"/>
      <c r="R1904" s="23"/>
      <c r="S1904" s="23"/>
      <c r="T1904" s="23"/>
      <c r="U1904" s="23"/>
      <c r="V1904" s="30"/>
      <c r="W1904" s="30"/>
      <c r="X1904" s="30"/>
      <c r="Y1904" s="494"/>
      <c r="Z1904" s="30"/>
      <c r="AA1904" s="30"/>
      <c r="AB1904" s="30"/>
      <c r="AC1904" s="492"/>
      <c r="AD1904" s="30"/>
      <c r="AE1904" s="30"/>
      <c r="AF1904" s="58"/>
      <c r="AG1904" s="30"/>
      <c r="AH1904" s="30"/>
      <c r="AI1904" s="30"/>
      <c r="AJ1904" s="504"/>
      <c r="AK1904" s="504"/>
      <c r="AL1904" s="342"/>
      <c r="AM1904" s="30"/>
      <c r="AN1904" s="30"/>
      <c r="AO1904" s="30"/>
      <c r="AP1904" s="30"/>
      <c r="AQ1904" s="30"/>
      <c r="AR1904" s="30"/>
      <c r="AS1904" s="30"/>
      <c r="AT1904" s="492"/>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2"/>
    </row>
    <row r="1905" spans="1:78" s="142" customFormat="1" ht="12.75" hidden="1" customHeight="1" thickBot="1">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3"/>
      <c r="Q1905" s="23"/>
      <c r="R1905" s="23"/>
      <c r="S1905" s="23"/>
      <c r="T1905" s="23"/>
      <c r="U1905" s="23"/>
      <c r="V1905" s="30"/>
      <c r="W1905" s="30"/>
      <c r="X1905" s="30"/>
      <c r="Y1905" s="494"/>
      <c r="Z1905" s="30"/>
      <c r="AA1905" s="30"/>
      <c r="AB1905" s="30"/>
      <c r="AC1905" s="1172" t="b">
        <f>AC1903</f>
        <v>0</v>
      </c>
      <c r="AD1905" s="30"/>
      <c r="AE1905" s="30"/>
      <c r="AF1905" s="58"/>
      <c r="AG1905" s="30"/>
      <c r="AH1905" s="30"/>
      <c r="AI1905" s="30"/>
      <c r="AJ1905" s="504"/>
      <c r="AK1905" s="504"/>
      <c r="AL1905" s="342"/>
      <c r="AM1905" s="30"/>
      <c r="AN1905" s="30"/>
      <c r="AO1905" s="30"/>
      <c r="AP1905" s="30"/>
      <c r="AQ1905" s="30"/>
      <c r="AR1905" s="30"/>
      <c r="AS1905" s="30"/>
      <c r="AT1905" s="1172"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2" t="b">
        <f>OR(BZ1903,AND(NOT(ISBLANK(L1903)),L1903=FALSE))</f>
        <v>1</v>
      </c>
    </row>
    <row r="1906" spans="1:78" s="142" customFormat="1" ht="5.0999999999999996" hidden="1" customHeight="1">
      <c r="A1906" s="808"/>
      <c r="B1906" s="166"/>
      <c r="C1906" s="166"/>
      <c r="D1906" s="166"/>
      <c r="E1906" s="166"/>
      <c r="F1906" s="166"/>
      <c r="G1906" s="166"/>
      <c r="M1906" s="143"/>
      <c r="N1906" s="143"/>
      <c r="O1906" s="733"/>
      <c r="P1906" s="23"/>
      <c r="Q1906" s="23"/>
      <c r="R1906" s="23"/>
      <c r="S1906" s="23"/>
      <c r="T1906" s="23"/>
      <c r="U1906" s="23"/>
      <c r="V1906" s="30"/>
      <c r="W1906" s="30"/>
      <c r="X1906" s="30"/>
      <c r="Y1906" s="494"/>
      <c r="Z1906" s="30"/>
      <c r="AA1906" s="30"/>
      <c r="AB1906" s="30"/>
      <c r="AC1906" s="30"/>
      <c r="AD1906" s="30"/>
      <c r="AE1906" s="30"/>
      <c r="AF1906" s="58"/>
      <c r="AG1906" s="30"/>
      <c r="AH1906" s="30"/>
      <c r="AI1906" s="30"/>
      <c r="AJ1906" s="504"/>
      <c r="AK1906" s="504"/>
      <c r="AL1906" s="342"/>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hidden="1" customHeight="1" thickBot="1">
      <c r="A1907" s="808"/>
      <c r="B1907" s="166"/>
      <c r="C1907" s="166"/>
      <c r="D1907" s="166"/>
      <c r="E1907" s="166"/>
      <c r="F1907" s="506" t="str">
        <f>Translations!$B$333</f>
        <v>Pakopa</v>
      </c>
      <c r="G1907" s="1557" t="str">
        <f>Translations!$B$672</f>
        <v>pakopos aprašas</v>
      </c>
      <c r="H1907" s="1557"/>
      <c r="I1907" s="1555" t="str">
        <f>Translations!$B$158</f>
        <v>Vienetas</v>
      </c>
      <c r="J1907" s="1555"/>
      <c r="K1907" s="1555" t="str">
        <f>Translations!$B$673</f>
        <v>Vertė</v>
      </c>
      <c r="L1907" s="1555"/>
      <c r="M1907" s="507" t="str">
        <f>Translations!$B$610</f>
        <v>klaida</v>
      </c>
      <c r="O1907" s="733"/>
      <c r="P1907" s="508"/>
      <c r="Q1907" s="352" t="str">
        <f>EUconst_SumEnergyIN &amp; "_" &amp; K1898</f>
        <v>SUM_EnergyIN_</v>
      </c>
      <c r="R1907" s="399" t="str">
        <f>IF(OR(K1898="",T1899)=TRUE,"",INDEX(BC1913:BE1913,MATCH(K1898,BC1908:BE1908,0)))</f>
        <v/>
      </c>
      <c r="S1907" s="30"/>
      <c r="T1907" s="489"/>
      <c r="U1907" s="30"/>
      <c r="V1907" s="509" t="s">
        <v>303</v>
      </c>
      <c r="W1907" s="30"/>
      <c r="X1907" s="30"/>
      <c r="Y1907" s="494" t="s">
        <v>566</v>
      </c>
      <c r="Z1907" s="494" t="s">
        <v>318</v>
      </c>
      <c r="AA1907" s="30"/>
      <c r="AB1907" s="30"/>
      <c r="AC1907" s="505" t="s">
        <v>309</v>
      </c>
      <c r="AD1907" s="30"/>
      <c r="AE1907" s="30"/>
      <c r="AF1907" s="492" t="s">
        <v>305</v>
      </c>
      <c r="AG1907" s="492" t="s">
        <v>306</v>
      </c>
      <c r="AH1907" s="494" t="s">
        <v>304</v>
      </c>
      <c r="AI1907" s="504" t="s">
        <v>307</v>
      </c>
      <c r="AJ1907" s="504" t="s">
        <v>567</v>
      </c>
      <c r="AK1907" s="510" t="s">
        <v>311</v>
      </c>
      <c r="AL1907" s="342"/>
      <c r="AM1907" s="30"/>
      <c r="AN1907" s="492" t="s">
        <v>305</v>
      </c>
      <c r="AO1907" s="492" t="s">
        <v>306</v>
      </c>
      <c r="AP1907" s="511" t="s">
        <v>310</v>
      </c>
      <c r="AQ1907" s="504" t="s">
        <v>569</v>
      </c>
      <c r="AR1907" s="504" t="s">
        <v>568</v>
      </c>
      <c r="AS1907" s="510" t="s">
        <v>609</v>
      </c>
      <c r="AT1907" s="510" t="s">
        <v>609</v>
      </c>
      <c r="AU1907" s="30"/>
      <c r="AV1907" s="492"/>
      <c r="AW1907" s="492"/>
      <c r="AX1907" s="492" t="s">
        <v>321</v>
      </c>
      <c r="AY1907" s="492"/>
      <c r="AZ1907" s="492"/>
      <c r="BA1907" s="492"/>
      <c r="BB1907" s="492"/>
      <c r="BC1907" s="492"/>
      <c r="BD1907" s="492"/>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3" t="s">
        <v>262</v>
      </c>
    </row>
    <row r="1908" spans="1:78" s="142" customFormat="1" ht="12.75" hidden="1" customHeight="1" thickBot="1">
      <c r="A1908" s="808"/>
      <c r="B1908" s="166"/>
      <c r="C1908" s="777" t="s">
        <v>196</v>
      </c>
      <c r="D1908" s="512" t="str">
        <f>Translations!$B$622</f>
        <v>VD:</v>
      </c>
      <c r="E1908" s="513"/>
      <c r="F1908" s="402"/>
      <c r="G1908" s="1532" t="str">
        <f>IF(OR(ISBLANK(F1908),F1908=EUconst_NoTier),"",IF(Z1908=0,EUconst_NA,IF(ISERROR(Z1908),"",Z1908)))</f>
        <v/>
      </c>
      <c r="H1908" s="1533"/>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0"/>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0"/>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0"/>
      <c r="AV1908" s="492" t="s">
        <v>314</v>
      </c>
      <c r="AW1908" s="492" t="s">
        <v>319</v>
      </c>
      <c r="AX1908" s="524"/>
      <c r="AY1908" s="30" t="s">
        <v>542</v>
      </c>
      <c r="AZ1908" s="30"/>
      <c r="BA1908" s="30"/>
      <c r="BB1908" s="504"/>
      <c r="BC1908" s="493" t="str">
        <f>EUconst_Fuel</f>
        <v>Degimas</v>
      </c>
      <c r="BD1908" s="493" t="str">
        <f>EUconst_ProcessCarbonate</f>
        <v>Proceso metu išsiskiriančios ŠESD</v>
      </c>
      <c r="BE1908" s="493"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4" t="b">
        <f>BZ1903</f>
        <v>1</v>
      </c>
    </row>
    <row r="1909" spans="1:78" s="142" customFormat="1" ht="4.5" hidden="1" customHeight="1">
      <c r="A1909" s="808"/>
      <c r="B1909" s="166"/>
      <c r="C1909" s="814"/>
      <c r="D1909" s="306"/>
      <c r="F1909" s="143"/>
      <c r="G1909" s="143"/>
      <c r="H1909" s="143" t="s">
        <v>236</v>
      </c>
      <c r="I1909" s="525"/>
      <c r="J1909" s="525"/>
      <c r="K1909" s="143"/>
      <c r="L1909" s="143"/>
      <c r="M1909" s="710"/>
      <c r="O1909" s="733"/>
      <c r="P1909" s="33"/>
      <c r="Q1909" s="33"/>
      <c r="R1909" s="33"/>
      <c r="S1909" s="30"/>
      <c r="T1909" s="155"/>
      <c r="U1909" s="497"/>
      <c r="V1909" s="30"/>
      <c r="W1909" s="30"/>
      <c r="X1909" s="497"/>
      <c r="Y1909" s="526"/>
      <c r="Z1909" s="30"/>
      <c r="AA1909" s="30"/>
      <c r="AB1909" s="30"/>
      <c r="AC1909" s="30"/>
      <c r="AD1909" s="30"/>
      <c r="AE1909" s="30"/>
      <c r="AF1909" s="30"/>
      <c r="AG1909" s="30"/>
      <c r="AH1909" s="30"/>
      <c r="AI1909" s="30"/>
      <c r="AJ1909" s="30"/>
      <c r="AK1909" s="30"/>
      <c r="AL1909" s="342"/>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3"/>
    </row>
    <row r="1910" spans="1:78" s="142" customFormat="1" ht="12.75" hidden="1" customHeight="1" thickBot="1">
      <c r="A1910" s="808"/>
      <c r="B1910" s="166"/>
      <c r="C1910" s="814" t="s">
        <v>197</v>
      </c>
      <c r="D1910" s="512" t="str">
        <f>Translations!$B$634</f>
        <v>(prelim.) ITF:</v>
      </c>
      <c r="E1910" s="513"/>
      <c r="F1910" s="527"/>
      <c r="G1910" s="1532" t="str">
        <f t="shared" ref="G1910:G1916" si="476">IF(OR(ISBLANK(F1910),F1910=EUconst_NoTier),"",IF(Z1910=0,EUconst_NotApplicable,IF(ISERROR(Z1910),"",Z1910)))</f>
        <v/>
      </c>
      <c r="H1910" s="1556"/>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3"/>
      <c r="Q1910" s="33"/>
      <c r="R1910" s="33"/>
      <c r="S1910" s="30"/>
      <c r="T1910" s="530" t="str">
        <f>EUconst_CNTR_EF&amp;E1899</f>
        <v>EF_</v>
      </c>
      <c r="U1910" s="497"/>
      <c r="V1910" s="531" t="str">
        <f>V1908</f>
        <v/>
      </c>
      <c r="W1910" s="30"/>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0"/>
      <c r="AC1910" s="535" t="b">
        <f>AND(AC1908,Y1910&lt;&gt;EUconst_NA)</f>
        <v>0</v>
      </c>
      <c r="AD1910" s="30"/>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0"/>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0"/>
      <c r="BA1910" s="30"/>
      <c r="BB1910" s="547" t="s">
        <v>594</v>
      </c>
      <c r="BC1910" s="546" t="str">
        <f>IF(K1898=BC1908,AR1908*IF(AJ1910=EUconst_tCO2pTJ,(AR1911/1000),1)*AR1910*AR1912*AR1916,"")</f>
        <v/>
      </c>
      <c r="BD1910" s="524" t="str">
        <f>IF(K1898=BD1908,AR1908*AR1910*AR1913*AR1916,"")</f>
        <v/>
      </c>
      <c r="BE1910" s="523"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1" t="b">
        <f>OR(BZ1908,Y1910=EUconst_NA)</f>
        <v>1</v>
      </c>
    </row>
    <row r="1911" spans="1:78" s="142" customFormat="1" ht="12.75" hidden="1" customHeight="1" thickBot="1">
      <c r="A1911" s="808"/>
      <c r="B1911" s="166"/>
      <c r="C1911" s="814" t="s">
        <v>198</v>
      </c>
      <c r="D1911" s="512" t="str">
        <f>Translations!$B$636</f>
        <v>GŠV:</v>
      </c>
      <c r="E1911" s="513"/>
      <c r="F1911" s="548"/>
      <c r="G1911" s="1532" t="str">
        <f t="shared" si="476"/>
        <v/>
      </c>
      <c r="H1911" s="1533"/>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3"/>
      <c r="Q1911" s="33"/>
      <c r="R1911" s="33"/>
      <c r="S1911" s="30"/>
      <c r="T1911" s="552" t="str">
        <f>EUconst_CNTR_NCV&amp;E1899</f>
        <v>NCV_</v>
      </c>
      <c r="U1911" s="497"/>
      <c r="V1911" s="553" t="str">
        <f t="shared" ref="V1911:V1916" si="482">V1910</f>
        <v/>
      </c>
      <c r="W1911" s="30"/>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0"/>
      <c r="AC1911" s="557" t="b">
        <f>AND(AC1908,Y1911&lt;&gt;EUconst_NA)</f>
        <v>0</v>
      </c>
      <c r="AD1911" s="30"/>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0"/>
      <c r="AV1911" s="567" t="b">
        <f t="shared" si="479"/>
        <v>0</v>
      </c>
      <c r="AW1911" s="568" t="b">
        <f t="shared" si="480"/>
        <v>0</v>
      </c>
      <c r="AX1911" s="30"/>
      <c r="AY1911" s="553" t="b">
        <f t="shared" si="481"/>
        <v>0</v>
      </c>
      <c r="AZ1911" s="30"/>
      <c r="BA1911" s="30"/>
      <c r="BB1911" s="547" t="s">
        <v>595</v>
      </c>
      <c r="BC1911" s="546" t="str">
        <f>IF(K1898=BC1908,AR1908*IF(AJ1910=EUconst_tCO2pTJ,(AR1911/1000),1)*AR1910*AR1912*AR1915,"")</f>
        <v/>
      </c>
      <c r="BD1911" s="524" t="str">
        <f>IF(K1898=BD1908,AR1908*AR1910*AR1913*AR1915,"")</f>
        <v/>
      </c>
      <c r="BE1911" s="523"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3" t="b">
        <f>OR(BZ1908,Y1911=EUconst_NA)</f>
        <v>1</v>
      </c>
    </row>
    <row r="1912" spans="1:78" s="142" customFormat="1" ht="12.75" hidden="1" customHeight="1" thickBot="1">
      <c r="A1912" s="808"/>
      <c r="B1912" s="166"/>
      <c r="C1912" s="814" t="s">
        <v>199</v>
      </c>
      <c r="D1912" s="512" t="str">
        <f>Translations!$B$638</f>
        <v>OksK:</v>
      </c>
      <c r="E1912" s="513"/>
      <c r="F1912" s="548"/>
      <c r="G1912" s="1532" t="str">
        <f t="shared" si="476"/>
        <v/>
      </c>
      <c r="H1912" s="1533"/>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3"/>
      <c r="Q1912" s="33"/>
      <c r="R1912" s="33"/>
      <c r="S1912" s="30"/>
      <c r="T1912" s="552" t="str">
        <f>EUconst_CNTR_OxidationFactor&amp;E1899</f>
        <v>OxF_</v>
      </c>
      <c r="U1912" s="497"/>
      <c r="V1912" s="553" t="str">
        <f t="shared" si="482"/>
        <v/>
      </c>
      <c r="W1912" s="30"/>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0"/>
      <c r="AC1912" s="557" t="b">
        <f>AND(AC1908,Y1912&lt;&gt;EUconst_NA)</f>
        <v>0</v>
      </c>
      <c r="AD1912" s="30"/>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0"/>
      <c r="AV1912" s="567" t="b">
        <f t="shared" si="479"/>
        <v>0</v>
      </c>
      <c r="AW1912" s="568" t="b">
        <f t="shared" si="480"/>
        <v>0</v>
      </c>
      <c r="AX1912" s="30"/>
      <c r="AY1912" s="594" t="b">
        <f t="shared" si="481"/>
        <v>0</v>
      </c>
      <c r="AZ1912" s="531" t="b">
        <f>AR1912&gt;100%</f>
        <v>0</v>
      </c>
      <c r="BA1912" s="30"/>
      <c r="BB1912" s="547" t="s">
        <v>290</v>
      </c>
      <c r="BC1912" s="546" t="str">
        <f>IF(K1898=BC1908,AR1908*IF(AJ1910=EUconst_tCO2pTJ,(AR1911/1000),1)*AR1910*AR1912*(1-AR1915),"")</f>
        <v/>
      </c>
      <c r="BD1912" s="524" t="str">
        <f>IF(K1898=BD1908,AR1908*AR1910*AR1913*(1-AR1915),"")</f>
        <v/>
      </c>
      <c r="BE1912" s="523"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3" t="b">
        <f>OR(BZ1908,Y1912=EUconst_NA)</f>
        <v>1</v>
      </c>
    </row>
    <row r="1913" spans="1:78" s="142" customFormat="1" ht="12.75" hidden="1" customHeight="1" thickBot="1">
      <c r="A1913" s="808"/>
      <c r="B1913" s="166"/>
      <c r="C1913" s="814" t="s">
        <v>200</v>
      </c>
      <c r="D1913" s="512" t="str">
        <f>Translations!$B$639</f>
        <v>KonvK:</v>
      </c>
      <c r="E1913" s="513"/>
      <c r="F1913" s="548"/>
      <c r="G1913" s="1532" t="str">
        <f t="shared" si="476"/>
        <v/>
      </c>
      <c r="H1913" s="1533"/>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3"/>
      <c r="Q1913" s="33"/>
      <c r="R1913" s="33"/>
      <c r="S1913" s="30"/>
      <c r="T1913" s="552" t="str">
        <f>EUconst_CNTR_ConversionFactor&amp;E1899</f>
        <v>ConvF_</v>
      </c>
      <c r="U1913" s="497"/>
      <c r="V1913" s="553" t="str">
        <f t="shared" si="482"/>
        <v/>
      </c>
      <c r="W1913" s="30"/>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0"/>
      <c r="AC1913" s="557" t="b">
        <f>AND(AC1908,Y1913&lt;&gt;EUconst_NA)</f>
        <v>0</v>
      </c>
      <c r="AD1913" s="30"/>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0"/>
      <c r="AV1913" s="567" t="b">
        <f t="shared" si="479"/>
        <v>0</v>
      </c>
      <c r="AW1913" s="568" t="b">
        <f t="shared" si="480"/>
        <v>0</v>
      </c>
      <c r="AX1913" s="30"/>
      <c r="AY1913" s="594" t="b">
        <f t="shared" si="481"/>
        <v>0</v>
      </c>
      <c r="AZ1913" s="580" t="b">
        <f>AR1913&gt;100%</f>
        <v>0</v>
      </c>
      <c r="BA1913" s="30"/>
      <c r="BB1913" s="578" t="s">
        <v>487</v>
      </c>
      <c r="BC1913" s="579">
        <f>AR1908*AR1911/1000*(1-AR1915)</f>
        <v>0</v>
      </c>
      <c r="BD1913" s="580">
        <f>BC1913</f>
        <v>0</v>
      </c>
      <c r="BE1913" s="581">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3" t="b">
        <f>OR(BZ1908,Y1913=EUconst_NA)</f>
        <v>1</v>
      </c>
    </row>
    <row r="1914" spans="1:78" s="142" customFormat="1" ht="12.75" hidden="1" customHeight="1" thickBot="1">
      <c r="A1914" s="808"/>
      <c r="B1914" s="166"/>
      <c r="C1914" s="814" t="s">
        <v>329</v>
      </c>
      <c r="D1914" s="512" t="str">
        <f>Translations!$B$640</f>
        <v>AnglK:</v>
      </c>
      <c r="E1914" s="513"/>
      <c r="F1914" s="548"/>
      <c r="G1914" s="1532" t="str">
        <f t="shared" si="476"/>
        <v/>
      </c>
      <c r="H1914" s="1533"/>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3"/>
      <c r="Q1914" s="33"/>
      <c r="R1914" s="33"/>
      <c r="S1914" s="30"/>
      <c r="T1914" s="552" t="str">
        <f>EUconst_CNTR_CarbonContent&amp;E1899</f>
        <v>CarbC_</v>
      </c>
      <c r="U1914" s="497"/>
      <c r="V1914" s="553" t="str">
        <f t="shared" si="482"/>
        <v/>
      </c>
      <c r="W1914" s="30"/>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0"/>
      <c r="AC1914" s="557" t="b">
        <f>AND(AC1908,Y1914&lt;&gt;EUconst_NA)</f>
        <v>0</v>
      </c>
      <c r="AD1914" s="30"/>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0"/>
      <c r="AV1914" s="567" t="b">
        <f t="shared" si="479"/>
        <v>0</v>
      </c>
      <c r="AW1914" s="568" t="b">
        <f t="shared" si="480"/>
        <v>0</v>
      </c>
      <c r="AX1914" s="546" t="b">
        <f>OR(AND(AJ1908=EUconst_kNm3,AJ1914=EUconst_tCpt),AND(AJ1908=EUconst_t,AJ1914=EUconst_tCpkNm3))</f>
        <v>0</v>
      </c>
      <c r="AY1914" s="553" t="b">
        <f t="shared" si="481"/>
        <v>0</v>
      </c>
      <c r="AZ1914" s="30"/>
      <c r="BA1914" s="30"/>
      <c r="BB1914" s="578" t="s">
        <v>488</v>
      </c>
      <c r="BC1914" s="579">
        <f>AR1908*AR1911/1000*AR1915</f>
        <v>0</v>
      </c>
      <c r="BD1914" s="580">
        <f>BC1914</f>
        <v>0</v>
      </c>
      <c r="BE1914" s="581">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3" t="b">
        <f>OR(BZ1908,Y1914=EUconst_NA)</f>
        <v>1</v>
      </c>
    </row>
    <row r="1915" spans="1:78" s="142" customFormat="1" ht="12.75" hidden="1" customHeight="1">
      <c r="A1915" s="808"/>
      <c r="B1915" s="166"/>
      <c r="C1915" s="777" t="s">
        <v>330</v>
      </c>
      <c r="D1915" s="512" t="str">
        <f>Translations!$B$641</f>
        <v>BioC:</v>
      </c>
      <c r="E1915" s="513"/>
      <c r="F1915" s="548"/>
      <c r="G1915" s="1532" t="str">
        <f t="shared" si="476"/>
        <v/>
      </c>
      <c r="H1915" s="1533"/>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0"/>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0"/>
      <c r="AC1915" s="557" t="b">
        <f>AND(AC1908,Y1915&lt;&gt;EUconst_NA)</f>
        <v>0</v>
      </c>
      <c r="AD1915" s="30"/>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0"/>
      <c r="AV1915" s="567" t="b">
        <f t="shared" si="479"/>
        <v>0</v>
      </c>
      <c r="AW1915" s="568" t="b">
        <f t="shared" si="480"/>
        <v>0</v>
      </c>
      <c r="AX1915" s="30"/>
      <c r="AY1915" s="594" t="b">
        <f t="shared" si="481"/>
        <v>0</v>
      </c>
      <c r="AZ1915" s="531"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3" t="b">
        <f>OR(BZ1908,Y1915=EUconst_NA)</f>
        <v>1</v>
      </c>
    </row>
    <row r="1916" spans="1:78" s="142" customFormat="1" ht="12.75" hidden="1" customHeight="1" thickBot="1">
      <c r="A1916" s="808"/>
      <c r="B1916" s="166"/>
      <c r="C1916" s="777" t="s">
        <v>454</v>
      </c>
      <c r="D1916" s="512" t="str">
        <f>Translations!$B$647</f>
        <v>Netvar. BioC:</v>
      </c>
      <c r="E1916" s="513"/>
      <c r="F1916" s="597"/>
      <c r="G1916" s="1532" t="str">
        <f t="shared" si="476"/>
        <v/>
      </c>
      <c r="H1916" s="1533"/>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0"/>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0"/>
      <c r="AC1916" s="603" t="b">
        <f>AND(AC1908,Y1916&lt;&gt;EUconst_NA)</f>
        <v>0</v>
      </c>
      <c r="AD1916" s="30"/>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0"/>
      <c r="AV1916" s="613" t="b">
        <f t="shared" si="479"/>
        <v>0</v>
      </c>
      <c r="AW1916" s="614" t="b">
        <f t="shared" si="480"/>
        <v>0</v>
      </c>
      <c r="AX1916" s="30"/>
      <c r="AY1916" s="579" t="b">
        <f t="shared" si="481"/>
        <v>0</v>
      </c>
      <c r="AZ1916" s="580"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80" t="b">
        <f>OR(BZ1908,Y1916=EUconst_NA)</f>
        <v>1</v>
      </c>
    </row>
    <row r="1917" spans="1:78" s="142" customFormat="1" ht="5.0999999999999996" hidden="1" customHeight="1">
      <c r="A1917" s="808"/>
      <c r="B1917" s="166"/>
      <c r="C1917" s="166"/>
      <c r="D1917" s="180"/>
      <c r="O1917" s="733"/>
      <c r="P1917" s="33"/>
      <c r="Q1917" s="33"/>
      <c r="R1917" s="33"/>
      <c r="S1917" s="174"/>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hidden="1" customHeight="1">
      <c r="A1918" s="808"/>
      <c r="B1918" s="166"/>
      <c r="C1918" s="166"/>
      <c r="D1918" s="1558" t="str">
        <f>Translations!$B$674</f>
        <v>Pakopos galioja nuo:</v>
      </c>
      <c r="E1918" s="1558"/>
      <c r="F1918" s="1559"/>
      <c r="G1918" s="1052"/>
      <c r="H1918" s="615" t="str">
        <f>Translations!$B$675</f>
        <v>iki:</v>
      </c>
      <c r="I1918" s="1052"/>
      <c r="J1918" s="1536" t="str">
        <f>Translations!$B$676</f>
        <v>Atliekų katalogo numeris (jeigu taikytina):</v>
      </c>
      <c r="K1918" s="1537"/>
      <c r="L1918" s="1537"/>
      <c r="M1918" s="1538"/>
      <c r="N1918" s="1289"/>
      <c r="O1918" s="733"/>
      <c r="P1918" s="33"/>
      <c r="Q1918" s="33"/>
      <c r="R1918" s="33"/>
      <c r="S1918" s="1290"/>
      <c r="T1918" s="492"/>
      <c r="U1918" s="492"/>
      <c r="V1918" s="48" t="b">
        <f>IF(V1908="",FALSE,INDEX(CNTR_IsWaste,MATCH(V1908,MSParameters!$A$218:$A$376,0)))</f>
        <v>0</v>
      </c>
      <c r="W1918" s="1290"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hidden="1" customHeight="1">
      <c r="A1919" s="808"/>
      <c r="B1919" s="166"/>
      <c r="C1919" s="166"/>
      <c r="D1919" s="615"/>
      <c r="E1919" s="495"/>
      <c r="F1919" s="495"/>
      <c r="G1919" s="495"/>
      <c r="H1919" s="495"/>
      <c r="I1919" s="495"/>
      <c r="J1919" s="495"/>
      <c r="K1919" s="495"/>
      <c r="L1919" s="495"/>
      <c r="M1919" s="495"/>
      <c r="N1919" s="495"/>
      <c r="O1919" s="733"/>
      <c r="P1919" s="33"/>
      <c r="Q1919" s="33"/>
      <c r="R1919" s="33"/>
      <c r="S1919" s="174"/>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hidden="1" customHeight="1">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3"/>
      <c r="Q1920" s="33"/>
      <c r="R1920" s="33"/>
      <c r="S1920" s="174"/>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hidden="1" customHeight="1">
      <c r="A1921" s="815"/>
      <c r="D1921" s="180"/>
      <c r="O1921" s="573"/>
      <c r="P1921" s="497"/>
      <c r="Q1921" s="497"/>
      <c r="R1921" s="497"/>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hidden="1">
      <c r="A1922" s="815"/>
      <c r="D1922" s="1534" t="str">
        <f>Translations!$B$160</f>
        <v>Pastabos:</v>
      </c>
      <c r="E1922" s="1535"/>
      <c r="F1922" s="1539"/>
      <c r="G1922" s="1540"/>
      <c r="H1922" s="1540"/>
      <c r="I1922" s="1540"/>
      <c r="J1922" s="1540"/>
      <c r="K1922" s="1540"/>
      <c r="L1922" s="1540"/>
      <c r="M1922" s="1540"/>
      <c r="N1922" s="1541"/>
      <c r="O1922" s="573"/>
      <c r="P1922" s="497"/>
      <c r="Q1922" s="497"/>
      <c r="R1922" s="497"/>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c r="A1923" s="808"/>
      <c r="B1923" s="495"/>
      <c r="C1923" s="499"/>
      <c r="D1923" s="500"/>
      <c r="E1923" s="501"/>
      <c r="F1923" s="499"/>
      <c r="G1923" s="502"/>
      <c r="H1923" s="502"/>
      <c r="I1923" s="502"/>
      <c r="J1923" s="502"/>
      <c r="K1923" s="502"/>
      <c r="L1923" s="502"/>
      <c r="M1923" s="502"/>
      <c r="N1923" s="502"/>
      <c r="O1923" s="740"/>
      <c r="P1923" s="494"/>
      <c r="Q1923" s="494"/>
      <c r="R1923" s="494"/>
      <c r="S1923" s="58"/>
      <c r="T1923" s="58"/>
      <c r="U1923" s="498"/>
      <c r="V1923" s="58"/>
      <c r="W1923" s="58"/>
      <c r="X1923" s="498"/>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c r="A1924" s="813"/>
      <c r="B1924" s="495"/>
      <c r="C1924" s="495"/>
      <c r="D1924" s="180"/>
      <c r="E1924" s="496"/>
      <c r="F1924" s="495"/>
      <c r="G1924" s="487"/>
      <c r="H1924" s="487"/>
      <c r="I1924" s="487"/>
      <c r="J1924" s="487"/>
      <c r="K1924" s="495"/>
      <c r="L1924" s="487"/>
      <c r="M1924" s="487"/>
      <c r="N1924" s="487"/>
      <c r="O1924" s="740"/>
      <c r="P1924" s="494"/>
      <c r="Q1924" s="494"/>
      <c r="R1924" s="494"/>
      <c r="S1924" s="23"/>
      <c r="T1924" s="27" t="str">
        <f>IF(ISBLANK(E1925),"",MATCH(E1925,CNTR_SourceStreamNames,0))</f>
        <v/>
      </c>
      <c r="U1924" s="618"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1"/>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3" t="s">
        <v>262</v>
      </c>
    </row>
    <row r="1925" spans="1:78" s="142" customFormat="1" ht="15" hidden="1" customHeight="1" thickBot="1">
      <c r="A1925" s="869" t="str">
        <f>IF(E1925="","","PRINT")</f>
        <v/>
      </c>
      <c r="B1925" s="166"/>
      <c r="C1925" s="617">
        <f>C1898+1</f>
        <v>70</v>
      </c>
      <c r="D1925" s="166"/>
      <c r="E1925" s="1542"/>
      <c r="F1925" s="1543"/>
      <c r="G1925" s="1543"/>
      <c r="H1925" s="1543"/>
      <c r="I1925" s="1543"/>
      <c r="J1925" s="1544"/>
      <c r="K1925" s="1545" t="str">
        <f>IF(E1926="","",INDEX(EUwideConstants!$F$353:$F$394,MATCH(E1926,EUConst_TierActivityListNames,0)))</f>
        <v/>
      </c>
      <c r="L1925" s="1546"/>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3"/>
      <c r="T1925" s="509" t="s">
        <v>393</v>
      </c>
      <c r="U1925" s="23"/>
      <c r="V1925" s="78"/>
      <c r="W1925" s="56"/>
      <c r="X1925" s="58"/>
      <c r="Y1925" s="58"/>
      <c r="Z1925" s="58"/>
      <c r="AA1925" s="58"/>
      <c r="AB1925" s="58"/>
      <c r="AC1925" s="58"/>
      <c r="AD1925" s="58"/>
      <c r="AE1925" s="58"/>
      <c r="AF1925" s="58"/>
      <c r="AG1925" s="58"/>
      <c r="AH1925" s="58"/>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6"/>
      <c r="BZ1925" s="619" t="b">
        <f>CNTR_CalcRelevant=EUconst_NotRelevant</f>
        <v>0</v>
      </c>
    </row>
    <row r="1926" spans="1:78" s="142" customFormat="1" ht="15" hidden="1" customHeight="1" thickBot="1">
      <c r="A1926" s="808"/>
      <c r="B1926" s="166"/>
      <c r="C1926" s="166"/>
      <c r="D1926" s="166"/>
      <c r="E1926" s="1547" t="str">
        <f>IF(ISBLANK(E1925),"",IF(INDEX(B_InstallationDescription!$E$71:$E$145,MATCH(U1924,B_InstallationDescription!$D$71:$D$145,0))&gt;0,INDEX(B_InstallationDescription!$E$71:$E$145,MATCH(U1924,B_InstallationDescription!$D$71:$D$145,0)),""))</f>
        <v/>
      </c>
      <c r="F1926" s="1548"/>
      <c r="G1926" s="1548"/>
      <c r="H1926" s="1548"/>
      <c r="I1926" s="1548"/>
      <c r="J1926" s="1549"/>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4"/>
      <c r="AH1926" s="30"/>
      <c r="AI1926" s="30"/>
      <c r="AJ1926" s="504"/>
      <c r="AK1926" s="504"/>
      <c r="AL1926" s="342"/>
      <c r="AM1926" s="27" t="s">
        <v>308</v>
      </c>
      <c r="AN1926" s="505"/>
      <c r="AO1926" s="505"/>
      <c r="AP1926" s="30"/>
      <c r="AQ1926" s="30"/>
      <c r="AR1926" s="30"/>
      <c r="AS1926" s="30"/>
      <c r="AT1926" s="30"/>
      <c r="AU1926" s="30"/>
      <c r="AV1926" s="27" t="s">
        <v>315</v>
      </c>
      <c r="AW1926" s="30"/>
      <c r="AX1926" s="492"/>
      <c r="AY1926" s="30"/>
      <c r="AZ1926" s="30"/>
      <c r="BA1926" s="30"/>
      <c r="BB1926" s="27" t="s">
        <v>219</v>
      </c>
      <c r="BC1926" s="30"/>
      <c r="BD1926" s="30"/>
      <c r="BE1926" s="30"/>
      <c r="BF1926" s="30"/>
      <c r="BG1926" s="27"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0"/>
      <c r="BZ1926" s="30"/>
    </row>
    <row r="1927" spans="1:78" s="142" customFormat="1" ht="5.0999999999999996" hidden="1" customHeight="1">
      <c r="A1927" s="808"/>
      <c r="B1927" s="166"/>
      <c r="C1927" s="166"/>
      <c r="D1927" s="166"/>
      <c r="E1927" s="166"/>
      <c r="F1927" s="166"/>
      <c r="G1927" s="166"/>
      <c r="M1927" s="143"/>
      <c r="N1927" s="143"/>
      <c r="O1927" s="733"/>
      <c r="P1927" s="33"/>
      <c r="Q1927" s="33"/>
      <c r="R1927" s="33"/>
      <c r="S1927" s="23"/>
      <c r="T1927" s="23"/>
      <c r="U1927" s="23"/>
      <c r="V1927" s="78"/>
      <c r="W1927" s="30"/>
      <c r="X1927" s="30"/>
      <c r="Y1927" s="494"/>
      <c r="Z1927" s="30"/>
      <c r="AA1927" s="30"/>
      <c r="AB1927" s="30"/>
      <c r="AC1927" s="30"/>
      <c r="AD1927" s="30"/>
      <c r="AE1927" s="30"/>
      <c r="AF1927" s="58"/>
      <c r="AG1927" s="30"/>
      <c r="AH1927" s="30"/>
      <c r="AI1927" s="30"/>
      <c r="AJ1927" s="504"/>
      <c r="AK1927" s="504"/>
      <c r="AL1927" s="342"/>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hidden="1" customHeight="1" thickBot="1">
      <c r="A1928" s="808"/>
      <c r="B1928" s="166"/>
      <c r="C1928" s="166"/>
      <c r="D1928" s="166"/>
      <c r="E1928" s="1550" t="str">
        <f>IF(E1925="","",IF(T1926=TRUE,HYPERLINK("#JUMP_14",EUconst_MsgGoOnPFC),HYPERLINK("#JUMP_E_8",EUconst_FurtherGuidancePoint1)))</f>
        <v/>
      </c>
      <c r="F1928" s="1550"/>
      <c r="G1928" s="1550"/>
      <c r="H1928" s="1550"/>
      <c r="I1928" s="1550"/>
      <c r="J1928" s="1550"/>
      <c r="K1928" s="1550"/>
      <c r="L1928" s="1550"/>
      <c r="M1928" s="1550"/>
      <c r="N1928" s="143"/>
      <c r="O1928" s="733"/>
      <c r="P1928" s="33"/>
      <c r="Q1928" s="352" t="str">
        <f>EUconst_SumNonSustBioCO2 &amp; "_" &amp; K1925</f>
        <v>SUM_bioNonSustCO2_</v>
      </c>
      <c r="R1928" s="707"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4"/>
      <c r="AK1928" s="504"/>
      <c r="AL1928" s="342"/>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4.5" hidden="1" customHeight="1">
      <c r="A1929" s="808"/>
      <c r="B1929" s="166"/>
      <c r="C1929" s="166"/>
      <c r="D1929" s="166"/>
      <c r="E1929" s="166"/>
      <c r="F1929" s="166"/>
      <c r="G1929" s="166"/>
      <c r="M1929" s="143"/>
      <c r="N1929" s="143"/>
      <c r="O1929" s="733"/>
      <c r="P1929" s="23"/>
      <c r="Q1929" s="23"/>
      <c r="R1929" s="23"/>
      <c r="S1929" s="23"/>
      <c r="T1929" s="23"/>
      <c r="U1929" s="23"/>
      <c r="V1929" s="30"/>
      <c r="W1929" s="30"/>
      <c r="X1929" s="30"/>
      <c r="Y1929" s="494"/>
      <c r="Z1929" s="30"/>
      <c r="AA1929" s="30"/>
      <c r="AB1929" s="30"/>
      <c r="AC1929" s="30"/>
      <c r="AD1929" s="30"/>
      <c r="AE1929" s="30"/>
      <c r="AF1929" s="58"/>
      <c r="AG1929" s="30"/>
      <c r="AH1929" s="30"/>
      <c r="AI1929" s="30"/>
      <c r="AJ1929" s="504"/>
      <c r="AK1929" s="504"/>
      <c r="AL1929" s="342"/>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hidden="1" customHeight="1" thickBot="1">
      <c r="A1930" s="808"/>
      <c r="B1930" s="166"/>
      <c r="C1930" s="814" t="s">
        <v>4</v>
      </c>
      <c r="D1930" s="512" t="str">
        <f>Translations!$B$622</f>
        <v>VD:</v>
      </c>
      <c r="E1930" s="1560" t="str">
        <f>Translations!$B$667</f>
        <v>Ar veiklos duomenys gaunami sudedant išmatuotus kiekius (t. y. ne atliekant nuolatinius matavimus)?</v>
      </c>
      <c r="F1930" s="1560"/>
      <c r="G1930" s="1560"/>
      <c r="H1930" s="1560"/>
      <c r="I1930" s="1560"/>
      <c r="J1930" s="1560"/>
      <c r="K1930" s="1560"/>
      <c r="L1930" s="1179"/>
      <c r="M1930" s="507"/>
      <c r="O1930" s="733"/>
      <c r="P1930" s="23"/>
      <c r="Q1930" s="23"/>
      <c r="R1930" s="23"/>
      <c r="S1930" s="23"/>
      <c r="T1930" s="23"/>
      <c r="U1930" s="23"/>
      <c r="V1930" s="30"/>
      <c r="W1930" s="30"/>
      <c r="X1930" s="30"/>
      <c r="Y1930" s="494"/>
      <c r="Z1930" s="30"/>
      <c r="AA1930" s="30"/>
      <c r="AB1930" s="30"/>
      <c r="AC1930" s="1172" t="b">
        <f>AND(E1925&lt;&gt;"",T1926&lt;&gt;TRUE)</f>
        <v>0</v>
      </c>
      <c r="AD1930" s="30"/>
      <c r="AE1930" s="30"/>
      <c r="AF1930" s="58"/>
      <c r="AG1930" s="30"/>
      <c r="AH1930" s="30"/>
      <c r="AI1930" s="30"/>
      <c r="AJ1930" s="504"/>
      <c r="AK1930" s="504"/>
      <c r="AL1930" s="342"/>
      <c r="AM1930" s="30"/>
      <c r="AN1930" s="30"/>
      <c r="AO1930" s="30"/>
      <c r="AP1930" s="30"/>
      <c r="AQ1930" s="30"/>
      <c r="AR1930" s="30"/>
      <c r="AS1930" s="30"/>
      <c r="AT1930" s="1172"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2" t="b">
        <f>OR(CNTR_CalcRelevant=EUconst_NotRelevant,AND(COUNTA(CNTR_ListRelevantSections)&gt;0,OR(T1926=TRUE,E1925="")))</f>
        <v>1</v>
      </c>
    </row>
    <row r="1931" spans="1:78" s="142" customFormat="1" ht="5.0999999999999996" hidden="1" customHeight="1">
      <c r="A1931" s="808"/>
      <c r="B1931" s="166"/>
      <c r="C1931" s="166"/>
      <c r="D1931" s="166"/>
      <c r="E1931" s="166"/>
      <c r="F1931" s="166"/>
      <c r="G1931" s="166"/>
      <c r="H1931" s="495"/>
      <c r="I1931" s="495"/>
      <c r="J1931" s="495"/>
      <c r="K1931" s="495"/>
      <c r="L1931" s="495"/>
      <c r="M1931" s="507"/>
      <c r="O1931" s="733"/>
      <c r="P1931" s="23"/>
      <c r="Q1931" s="23"/>
      <c r="R1931" s="23"/>
      <c r="S1931" s="23"/>
      <c r="T1931" s="23"/>
      <c r="U1931" s="23"/>
      <c r="V1931" s="30"/>
      <c r="W1931" s="30"/>
      <c r="X1931" s="30"/>
      <c r="Y1931" s="494"/>
      <c r="Z1931" s="30"/>
      <c r="AA1931" s="30"/>
      <c r="AB1931" s="30"/>
      <c r="AC1931" s="492"/>
      <c r="AD1931" s="30"/>
      <c r="AE1931" s="30"/>
      <c r="AF1931" s="58"/>
      <c r="AG1931" s="30"/>
      <c r="AH1931" s="30"/>
      <c r="AI1931" s="30"/>
      <c r="AJ1931" s="504"/>
      <c r="AK1931" s="504"/>
      <c r="AL1931" s="342"/>
      <c r="AM1931" s="30"/>
      <c r="AN1931" s="30"/>
      <c r="AO1931" s="30"/>
      <c r="AP1931" s="30"/>
      <c r="AQ1931" s="30"/>
      <c r="AR1931" s="30"/>
      <c r="AS1931" s="30"/>
      <c r="AT1931" s="492"/>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2"/>
    </row>
    <row r="1932" spans="1:78" s="142" customFormat="1" ht="12.75" hidden="1" customHeight="1" thickBot="1">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3"/>
      <c r="Q1932" s="23"/>
      <c r="R1932" s="23"/>
      <c r="S1932" s="23"/>
      <c r="T1932" s="23"/>
      <c r="U1932" s="23"/>
      <c r="V1932" s="30"/>
      <c r="W1932" s="30"/>
      <c r="X1932" s="30"/>
      <c r="Y1932" s="494"/>
      <c r="Z1932" s="30"/>
      <c r="AA1932" s="30"/>
      <c r="AB1932" s="30"/>
      <c r="AC1932" s="1172" t="b">
        <f>AC1930</f>
        <v>0</v>
      </c>
      <c r="AD1932" s="30"/>
      <c r="AE1932" s="30"/>
      <c r="AF1932" s="58"/>
      <c r="AG1932" s="30"/>
      <c r="AH1932" s="30"/>
      <c r="AI1932" s="30"/>
      <c r="AJ1932" s="504"/>
      <c r="AK1932" s="504"/>
      <c r="AL1932" s="342"/>
      <c r="AM1932" s="30"/>
      <c r="AN1932" s="30"/>
      <c r="AO1932" s="30"/>
      <c r="AP1932" s="30"/>
      <c r="AQ1932" s="30"/>
      <c r="AR1932" s="30"/>
      <c r="AS1932" s="30"/>
      <c r="AT1932" s="1172"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2" t="b">
        <f>OR(BZ1930,AND(NOT(ISBLANK(L1930)),L1930=FALSE))</f>
        <v>1</v>
      </c>
    </row>
    <row r="1933" spans="1:78" s="142" customFormat="1" ht="5.0999999999999996" hidden="1" customHeight="1">
      <c r="A1933" s="808"/>
      <c r="B1933" s="166"/>
      <c r="C1933" s="166"/>
      <c r="D1933" s="166"/>
      <c r="E1933" s="166"/>
      <c r="F1933" s="166"/>
      <c r="G1933" s="166"/>
      <c r="M1933" s="143"/>
      <c r="N1933" s="143"/>
      <c r="O1933" s="733"/>
      <c r="P1933" s="23"/>
      <c r="Q1933" s="23"/>
      <c r="R1933" s="23"/>
      <c r="S1933" s="23"/>
      <c r="T1933" s="23"/>
      <c r="U1933" s="23"/>
      <c r="V1933" s="30"/>
      <c r="W1933" s="30"/>
      <c r="X1933" s="30"/>
      <c r="Y1933" s="494"/>
      <c r="Z1933" s="30"/>
      <c r="AA1933" s="30"/>
      <c r="AB1933" s="30"/>
      <c r="AC1933" s="30"/>
      <c r="AD1933" s="30"/>
      <c r="AE1933" s="30"/>
      <c r="AF1933" s="58"/>
      <c r="AG1933" s="30"/>
      <c r="AH1933" s="30"/>
      <c r="AI1933" s="30"/>
      <c r="AJ1933" s="504"/>
      <c r="AK1933" s="504"/>
      <c r="AL1933" s="342"/>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hidden="1" customHeight="1" thickBot="1">
      <c r="A1934" s="808"/>
      <c r="B1934" s="166"/>
      <c r="C1934" s="166"/>
      <c r="D1934" s="166"/>
      <c r="E1934" s="166"/>
      <c r="F1934" s="506" t="str">
        <f>Translations!$B$333</f>
        <v>Pakopa</v>
      </c>
      <c r="G1934" s="1557" t="str">
        <f>Translations!$B$672</f>
        <v>pakopos aprašas</v>
      </c>
      <c r="H1934" s="1557"/>
      <c r="I1934" s="1555" t="str">
        <f>Translations!$B$158</f>
        <v>Vienetas</v>
      </c>
      <c r="J1934" s="1555"/>
      <c r="K1934" s="1555" t="str">
        <f>Translations!$B$673</f>
        <v>Vertė</v>
      </c>
      <c r="L1934" s="1555"/>
      <c r="M1934" s="507" t="str">
        <f>Translations!$B$610</f>
        <v>klaida</v>
      </c>
      <c r="O1934" s="733"/>
      <c r="P1934" s="508"/>
      <c r="Q1934" s="352" t="str">
        <f>EUconst_SumEnergyIN &amp; "_" &amp; K1925</f>
        <v>SUM_EnergyIN_</v>
      </c>
      <c r="R1934" s="399" t="str">
        <f>IF(OR(K1925="",T1926)=TRUE,"",INDEX(BC1940:BE1940,MATCH(K1925,BC1935:BE1935,0)))</f>
        <v/>
      </c>
      <c r="S1934" s="30"/>
      <c r="T1934" s="489"/>
      <c r="U1934" s="30"/>
      <c r="V1934" s="509" t="s">
        <v>303</v>
      </c>
      <c r="W1934" s="30"/>
      <c r="X1934" s="30"/>
      <c r="Y1934" s="494" t="s">
        <v>566</v>
      </c>
      <c r="Z1934" s="494" t="s">
        <v>318</v>
      </c>
      <c r="AA1934" s="30"/>
      <c r="AB1934" s="30"/>
      <c r="AC1934" s="505" t="s">
        <v>309</v>
      </c>
      <c r="AD1934" s="30"/>
      <c r="AE1934" s="30"/>
      <c r="AF1934" s="492" t="s">
        <v>305</v>
      </c>
      <c r="AG1934" s="492" t="s">
        <v>306</v>
      </c>
      <c r="AH1934" s="494" t="s">
        <v>304</v>
      </c>
      <c r="AI1934" s="504" t="s">
        <v>307</v>
      </c>
      <c r="AJ1934" s="504" t="s">
        <v>567</v>
      </c>
      <c r="AK1934" s="510" t="s">
        <v>311</v>
      </c>
      <c r="AL1934" s="342"/>
      <c r="AM1934" s="30"/>
      <c r="AN1934" s="492" t="s">
        <v>305</v>
      </c>
      <c r="AO1934" s="492" t="s">
        <v>306</v>
      </c>
      <c r="AP1934" s="511" t="s">
        <v>310</v>
      </c>
      <c r="AQ1934" s="504" t="s">
        <v>569</v>
      </c>
      <c r="AR1934" s="504" t="s">
        <v>568</v>
      </c>
      <c r="AS1934" s="510" t="s">
        <v>609</v>
      </c>
      <c r="AT1934" s="510" t="s">
        <v>609</v>
      </c>
      <c r="AU1934" s="30"/>
      <c r="AV1934" s="492"/>
      <c r="AW1934" s="492"/>
      <c r="AX1934" s="492" t="s">
        <v>321</v>
      </c>
      <c r="AY1934" s="492"/>
      <c r="AZ1934" s="492"/>
      <c r="BA1934" s="492"/>
      <c r="BB1934" s="492"/>
      <c r="BC1934" s="492"/>
      <c r="BD1934" s="492"/>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3" t="s">
        <v>262</v>
      </c>
    </row>
    <row r="1935" spans="1:78" s="142" customFormat="1" ht="12.75" hidden="1" customHeight="1" thickBot="1">
      <c r="A1935" s="808"/>
      <c r="B1935" s="166"/>
      <c r="C1935" s="777" t="s">
        <v>196</v>
      </c>
      <c r="D1935" s="512" t="str">
        <f>Translations!$B$622</f>
        <v>VD:</v>
      </c>
      <c r="E1935" s="513"/>
      <c r="F1935" s="402"/>
      <c r="G1935" s="1532" t="str">
        <f>IF(OR(ISBLANK(F1935),F1935=EUconst_NoTier),"",IF(Z1935=0,EUconst_NA,IF(ISERROR(Z1935),"",Z1935)))</f>
        <v/>
      </c>
      <c r="H1935" s="1533"/>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0"/>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0"/>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0"/>
      <c r="AV1935" s="492" t="s">
        <v>314</v>
      </c>
      <c r="AW1935" s="492" t="s">
        <v>319</v>
      </c>
      <c r="AX1935" s="524"/>
      <c r="AY1935" s="30" t="s">
        <v>542</v>
      </c>
      <c r="AZ1935" s="30"/>
      <c r="BA1935" s="30"/>
      <c r="BB1935" s="504"/>
      <c r="BC1935" s="493" t="str">
        <f>EUconst_Fuel</f>
        <v>Degimas</v>
      </c>
      <c r="BD1935" s="493" t="str">
        <f>EUconst_ProcessCarbonate</f>
        <v>Proceso metu išsiskiriančios ŠESD</v>
      </c>
      <c r="BE1935" s="493"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4" t="b">
        <f>BZ1930</f>
        <v>1</v>
      </c>
    </row>
    <row r="1936" spans="1:78" s="142" customFormat="1" ht="4.5" hidden="1" customHeight="1">
      <c r="A1936" s="808"/>
      <c r="B1936" s="166"/>
      <c r="C1936" s="814"/>
      <c r="D1936" s="306"/>
      <c r="F1936" s="143"/>
      <c r="G1936" s="143"/>
      <c r="H1936" s="143" t="s">
        <v>236</v>
      </c>
      <c r="I1936" s="525"/>
      <c r="J1936" s="525"/>
      <c r="K1936" s="143"/>
      <c r="L1936" s="143"/>
      <c r="M1936" s="710"/>
      <c r="O1936" s="733"/>
      <c r="P1936" s="33"/>
      <c r="Q1936" s="33"/>
      <c r="R1936" s="33"/>
      <c r="S1936" s="30"/>
      <c r="T1936" s="155"/>
      <c r="U1936" s="497"/>
      <c r="V1936" s="30"/>
      <c r="W1936" s="30"/>
      <c r="X1936" s="497"/>
      <c r="Y1936" s="526"/>
      <c r="Z1936" s="30"/>
      <c r="AA1936" s="30"/>
      <c r="AB1936" s="30"/>
      <c r="AC1936" s="30"/>
      <c r="AD1936" s="30"/>
      <c r="AE1936" s="30"/>
      <c r="AF1936" s="30"/>
      <c r="AG1936" s="30"/>
      <c r="AH1936" s="30"/>
      <c r="AI1936" s="30"/>
      <c r="AJ1936" s="30"/>
      <c r="AK1936" s="30"/>
      <c r="AL1936" s="342"/>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3"/>
    </row>
    <row r="1937" spans="1:78" s="142" customFormat="1" ht="12.75" hidden="1" customHeight="1" thickBot="1">
      <c r="A1937" s="808"/>
      <c r="B1937" s="166"/>
      <c r="C1937" s="814" t="s">
        <v>197</v>
      </c>
      <c r="D1937" s="512" t="str">
        <f>Translations!$B$634</f>
        <v>(prelim.) ITF:</v>
      </c>
      <c r="E1937" s="513"/>
      <c r="F1937" s="527"/>
      <c r="G1937" s="1532" t="str">
        <f t="shared" ref="G1937:G1943" si="483">IF(OR(ISBLANK(F1937),F1937=EUconst_NoTier),"",IF(Z1937=0,EUconst_NotApplicable,IF(ISERROR(Z1937),"",Z1937)))</f>
        <v/>
      </c>
      <c r="H1937" s="1556"/>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3"/>
      <c r="Q1937" s="33"/>
      <c r="R1937" s="33"/>
      <c r="S1937" s="30"/>
      <c r="T1937" s="530" t="str">
        <f>EUconst_CNTR_EF&amp;E1926</f>
        <v>EF_</v>
      </c>
      <c r="U1937" s="497"/>
      <c r="V1937" s="531" t="str">
        <f>V1935</f>
        <v/>
      </c>
      <c r="W1937" s="30"/>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0"/>
      <c r="AC1937" s="535" t="b">
        <f>AND(AC1935,Y1937&lt;&gt;EUconst_NA)</f>
        <v>0</v>
      </c>
      <c r="AD1937" s="30"/>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0"/>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0"/>
      <c r="BA1937" s="30"/>
      <c r="BB1937" s="547" t="s">
        <v>594</v>
      </c>
      <c r="BC1937" s="546" t="str">
        <f>IF(K1925=BC1935,AR1935*IF(AJ1937=EUconst_tCO2pTJ,(AR1938/1000),1)*AR1937*AR1939*AR1943,"")</f>
        <v/>
      </c>
      <c r="BD1937" s="524" t="str">
        <f>IF(K1925=BD1935,AR1935*AR1937*AR1940*AR1943,"")</f>
        <v/>
      </c>
      <c r="BE1937" s="523"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1" t="b">
        <f>OR(BZ1935,Y1937=EUconst_NA)</f>
        <v>1</v>
      </c>
    </row>
    <row r="1938" spans="1:78" s="142" customFormat="1" ht="12.75" hidden="1" customHeight="1" thickBot="1">
      <c r="A1938" s="808"/>
      <c r="B1938" s="166"/>
      <c r="C1938" s="814" t="s">
        <v>198</v>
      </c>
      <c r="D1938" s="512" t="str">
        <f>Translations!$B$636</f>
        <v>GŠV:</v>
      </c>
      <c r="E1938" s="513"/>
      <c r="F1938" s="548"/>
      <c r="G1938" s="1532" t="str">
        <f t="shared" si="483"/>
        <v/>
      </c>
      <c r="H1938" s="1533"/>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3"/>
      <c r="Q1938" s="33"/>
      <c r="R1938" s="33"/>
      <c r="S1938" s="30"/>
      <c r="T1938" s="552" t="str">
        <f>EUconst_CNTR_NCV&amp;E1926</f>
        <v>NCV_</v>
      </c>
      <c r="U1938" s="497"/>
      <c r="V1938" s="553" t="str">
        <f t="shared" ref="V1938:V1943" si="489">V1937</f>
        <v/>
      </c>
      <c r="W1938" s="30"/>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0"/>
      <c r="AC1938" s="557" t="b">
        <f>AND(AC1935,Y1938&lt;&gt;EUconst_NA)</f>
        <v>0</v>
      </c>
      <c r="AD1938" s="30"/>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0"/>
      <c r="AV1938" s="567" t="b">
        <f t="shared" si="486"/>
        <v>0</v>
      </c>
      <c r="AW1938" s="568" t="b">
        <f t="shared" si="487"/>
        <v>0</v>
      </c>
      <c r="AX1938" s="30"/>
      <c r="AY1938" s="553" t="b">
        <f t="shared" si="488"/>
        <v>0</v>
      </c>
      <c r="AZ1938" s="30"/>
      <c r="BA1938" s="30"/>
      <c r="BB1938" s="547" t="s">
        <v>595</v>
      </c>
      <c r="BC1938" s="546" t="str">
        <f>IF(K1925=BC1935,AR1935*IF(AJ1937=EUconst_tCO2pTJ,(AR1938/1000),1)*AR1937*AR1939*AR1942,"")</f>
        <v/>
      </c>
      <c r="BD1938" s="524" t="str">
        <f>IF(K1925=BD1935,AR1935*AR1937*AR1940*AR1942,"")</f>
        <v/>
      </c>
      <c r="BE1938" s="523"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3" t="b">
        <f>OR(BZ1935,Y1938=EUconst_NA)</f>
        <v>1</v>
      </c>
    </row>
    <row r="1939" spans="1:78" s="142" customFormat="1" ht="12.75" hidden="1" customHeight="1" thickBot="1">
      <c r="A1939" s="808"/>
      <c r="B1939" s="166"/>
      <c r="C1939" s="814" t="s">
        <v>199</v>
      </c>
      <c r="D1939" s="512" t="str">
        <f>Translations!$B$638</f>
        <v>OksK:</v>
      </c>
      <c r="E1939" s="513"/>
      <c r="F1939" s="548"/>
      <c r="G1939" s="1532" t="str">
        <f t="shared" si="483"/>
        <v/>
      </c>
      <c r="H1939" s="1533"/>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3"/>
      <c r="Q1939" s="33"/>
      <c r="R1939" s="33"/>
      <c r="S1939" s="30"/>
      <c r="T1939" s="552" t="str">
        <f>EUconst_CNTR_OxidationFactor&amp;E1926</f>
        <v>OxF_</v>
      </c>
      <c r="U1939" s="497"/>
      <c r="V1939" s="553" t="str">
        <f t="shared" si="489"/>
        <v/>
      </c>
      <c r="W1939" s="30"/>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0"/>
      <c r="AC1939" s="557" t="b">
        <f>AND(AC1935,Y1939&lt;&gt;EUconst_NA)</f>
        <v>0</v>
      </c>
      <c r="AD1939" s="30"/>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0"/>
      <c r="AV1939" s="567" t="b">
        <f t="shared" si="486"/>
        <v>0</v>
      </c>
      <c r="AW1939" s="568" t="b">
        <f t="shared" si="487"/>
        <v>0</v>
      </c>
      <c r="AX1939" s="30"/>
      <c r="AY1939" s="594" t="b">
        <f t="shared" si="488"/>
        <v>0</v>
      </c>
      <c r="AZ1939" s="531" t="b">
        <f>AR1939&gt;100%</f>
        <v>0</v>
      </c>
      <c r="BA1939" s="30"/>
      <c r="BB1939" s="547" t="s">
        <v>290</v>
      </c>
      <c r="BC1939" s="546" t="str">
        <f>IF(K1925=BC1935,AR1935*IF(AJ1937=EUconst_tCO2pTJ,(AR1938/1000),1)*AR1937*AR1939*(1-AR1942),"")</f>
        <v/>
      </c>
      <c r="BD1939" s="524" t="str">
        <f>IF(K1925=BD1935,AR1935*AR1937*AR1940*(1-AR1942),"")</f>
        <v/>
      </c>
      <c r="BE1939" s="523"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3" t="b">
        <f>OR(BZ1935,Y1939=EUconst_NA)</f>
        <v>1</v>
      </c>
    </row>
    <row r="1940" spans="1:78" s="142" customFormat="1" ht="12.75" hidden="1" customHeight="1" thickBot="1">
      <c r="A1940" s="808"/>
      <c r="B1940" s="166"/>
      <c r="C1940" s="814" t="s">
        <v>200</v>
      </c>
      <c r="D1940" s="512" t="str">
        <f>Translations!$B$639</f>
        <v>KonvK:</v>
      </c>
      <c r="E1940" s="513"/>
      <c r="F1940" s="548"/>
      <c r="G1940" s="1532" t="str">
        <f t="shared" si="483"/>
        <v/>
      </c>
      <c r="H1940" s="1533"/>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3"/>
      <c r="Q1940" s="33"/>
      <c r="R1940" s="33"/>
      <c r="S1940" s="30"/>
      <c r="T1940" s="552" t="str">
        <f>EUconst_CNTR_ConversionFactor&amp;E1926</f>
        <v>ConvF_</v>
      </c>
      <c r="U1940" s="497"/>
      <c r="V1940" s="553" t="str">
        <f t="shared" si="489"/>
        <v/>
      </c>
      <c r="W1940" s="30"/>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0"/>
      <c r="AC1940" s="557" t="b">
        <f>AND(AC1935,Y1940&lt;&gt;EUconst_NA)</f>
        <v>0</v>
      </c>
      <c r="AD1940" s="30"/>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0"/>
      <c r="AV1940" s="567" t="b">
        <f t="shared" si="486"/>
        <v>0</v>
      </c>
      <c r="AW1940" s="568" t="b">
        <f t="shared" si="487"/>
        <v>0</v>
      </c>
      <c r="AX1940" s="30"/>
      <c r="AY1940" s="594" t="b">
        <f t="shared" si="488"/>
        <v>0</v>
      </c>
      <c r="AZ1940" s="580" t="b">
        <f>AR1940&gt;100%</f>
        <v>0</v>
      </c>
      <c r="BA1940" s="30"/>
      <c r="BB1940" s="578" t="s">
        <v>487</v>
      </c>
      <c r="BC1940" s="579">
        <f>AR1935*AR1938/1000*(1-AR1942)</f>
        <v>0</v>
      </c>
      <c r="BD1940" s="580">
        <f>BC1940</f>
        <v>0</v>
      </c>
      <c r="BE1940" s="581">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3" t="b">
        <f>OR(BZ1935,Y1940=EUconst_NA)</f>
        <v>1</v>
      </c>
    </row>
    <row r="1941" spans="1:78" s="142" customFormat="1" ht="12.75" hidden="1" customHeight="1" thickBot="1">
      <c r="A1941" s="808"/>
      <c r="B1941" s="166"/>
      <c r="C1941" s="814" t="s">
        <v>329</v>
      </c>
      <c r="D1941" s="512" t="str">
        <f>Translations!$B$640</f>
        <v>AnglK:</v>
      </c>
      <c r="E1941" s="513"/>
      <c r="F1941" s="548"/>
      <c r="G1941" s="1532" t="str">
        <f t="shared" si="483"/>
        <v/>
      </c>
      <c r="H1941" s="1533"/>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3"/>
      <c r="Q1941" s="33"/>
      <c r="R1941" s="33"/>
      <c r="S1941" s="30"/>
      <c r="T1941" s="552" t="str">
        <f>EUconst_CNTR_CarbonContent&amp;E1926</f>
        <v>CarbC_</v>
      </c>
      <c r="U1941" s="497"/>
      <c r="V1941" s="553" t="str">
        <f t="shared" si="489"/>
        <v/>
      </c>
      <c r="W1941" s="30"/>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0"/>
      <c r="AC1941" s="557" t="b">
        <f>AND(AC1935,Y1941&lt;&gt;EUconst_NA)</f>
        <v>0</v>
      </c>
      <c r="AD1941" s="30"/>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0"/>
      <c r="AV1941" s="567" t="b">
        <f t="shared" si="486"/>
        <v>0</v>
      </c>
      <c r="AW1941" s="568" t="b">
        <f t="shared" si="487"/>
        <v>0</v>
      </c>
      <c r="AX1941" s="546" t="b">
        <f>OR(AND(AJ1935=EUconst_kNm3,AJ1941=EUconst_tCpt),AND(AJ1935=EUconst_t,AJ1941=EUconst_tCpkNm3))</f>
        <v>0</v>
      </c>
      <c r="AY1941" s="553" t="b">
        <f t="shared" si="488"/>
        <v>0</v>
      </c>
      <c r="AZ1941" s="30"/>
      <c r="BA1941" s="30"/>
      <c r="BB1941" s="578" t="s">
        <v>488</v>
      </c>
      <c r="BC1941" s="579">
        <f>AR1935*AR1938/1000*AR1942</f>
        <v>0</v>
      </c>
      <c r="BD1941" s="580">
        <f>BC1941</f>
        <v>0</v>
      </c>
      <c r="BE1941" s="581">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3" t="b">
        <f>OR(BZ1935,Y1941=EUconst_NA)</f>
        <v>1</v>
      </c>
    </row>
    <row r="1942" spans="1:78" s="142" customFormat="1" ht="12.75" hidden="1" customHeight="1">
      <c r="A1942" s="808"/>
      <c r="B1942" s="166"/>
      <c r="C1942" s="777" t="s">
        <v>330</v>
      </c>
      <c r="D1942" s="512" t="str">
        <f>Translations!$B$641</f>
        <v>BioC:</v>
      </c>
      <c r="E1942" s="513"/>
      <c r="F1942" s="548"/>
      <c r="G1942" s="1532" t="str">
        <f t="shared" si="483"/>
        <v/>
      </c>
      <c r="H1942" s="1533"/>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0"/>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0"/>
      <c r="AC1942" s="557" t="b">
        <f>AND(AC1935,Y1942&lt;&gt;EUconst_NA)</f>
        <v>0</v>
      </c>
      <c r="AD1942" s="30"/>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0"/>
      <c r="AV1942" s="567" t="b">
        <f t="shared" si="486"/>
        <v>0</v>
      </c>
      <c r="AW1942" s="568" t="b">
        <f t="shared" si="487"/>
        <v>0</v>
      </c>
      <c r="AX1942" s="30"/>
      <c r="AY1942" s="594" t="b">
        <f t="shared" si="488"/>
        <v>0</v>
      </c>
      <c r="AZ1942" s="531"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3" t="b">
        <f>OR(BZ1935,Y1942=EUconst_NA)</f>
        <v>1</v>
      </c>
    </row>
    <row r="1943" spans="1:78" s="142" customFormat="1" ht="12.75" hidden="1" customHeight="1" thickBot="1">
      <c r="A1943" s="808"/>
      <c r="B1943" s="166"/>
      <c r="C1943" s="777" t="s">
        <v>454</v>
      </c>
      <c r="D1943" s="512" t="str">
        <f>Translations!$B$647</f>
        <v>Netvar. BioC:</v>
      </c>
      <c r="E1943" s="513"/>
      <c r="F1943" s="597"/>
      <c r="G1943" s="1532" t="str">
        <f t="shared" si="483"/>
        <v/>
      </c>
      <c r="H1943" s="1533"/>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0"/>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0"/>
      <c r="AC1943" s="603" t="b">
        <f>AND(AC1935,Y1943&lt;&gt;EUconst_NA)</f>
        <v>0</v>
      </c>
      <c r="AD1943" s="30"/>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0"/>
      <c r="AV1943" s="613" t="b">
        <f t="shared" si="486"/>
        <v>0</v>
      </c>
      <c r="AW1943" s="614" t="b">
        <f t="shared" si="487"/>
        <v>0</v>
      </c>
      <c r="AX1943" s="30"/>
      <c r="AY1943" s="579" t="b">
        <f t="shared" si="488"/>
        <v>0</v>
      </c>
      <c r="AZ1943" s="580"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80" t="b">
        <f>OR(BZ1935,Y1943=EUconst_NA)</f>
        <v>1</v>
      </c>
    </row>
    <row r="1944" spans="1:78" s="142" customFormat="1" ht="4.5" hidden="1" customHeight="1">
      <c r="A1944" s="808"/>
      <c r="B1944" s="166"/>
      <c r="C1944" s="166"/>
      <c r="D1944" s="180"/>
      <c r="O1944" s="733"/>
      <c r="P1944" s="33"/>
      <c r="Q1944" s="33"/>
      <c r="R1944" s="33"/>
      <c r="S1944" s="174"/>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hidden="1" customHeight="1">
      <c r="A1945" s="808"/>
      <c r="B1945" s="166"/>
      <c r="C1945" s="166"/>
      <c r="D1945" s="1558" t="str">
        <f>Translations!$B$674</f>
        <v>Pakopos galioja nuo:</v>
      </c>
      <c r="E1945" s="1558"/>
      <c r="F1945" s="1559"/>
      <c r="G1945" s="1052"/>
      <c r="H1945" s="615" t="str">
        <f>Translations!$B$675</f>
        <v>iki:</v>
      </c>
      <c r="I1945" s="1052"/>
      <c r="J1945" s="1536" t="str">
        <f>Translations!$B$676</f>
        <v>Atliekų katalogo numeris (jeigu taikytina):</v>
      </c>
      <c r="K1945" s="1537"/>
      <c r="L1945" s="1537"/>
      <c r="M1945" s="1538"/>
      <c r="N1945" s="1289"/>
      <c r="O1945" s="733"/>
      <c r="P1945" s="33"/>
      <c r="Q1945" s="33"/>
      <c r="R1945" s="33"/>
      <c r="S1945" s="1290"/>
      <c r="T1945" s="492"/>
      <c r="U1945" s="492"/>
      <c r="V1945" s="48" t="b">
        <f>IF(V1935="",FALSE,INDEX(CNTR_IsWaste,MATCH(V1935,MSParameters!$A$218:$A$376,0)))</f>
        <v>0</v>
      </c>
      <c r="W1945" s="1290"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4.5" hidden="1" customHeight="1">
      <c r="A1946" s="808"/>
      <c r="B1946" s="166"/>
      <c r="C1946" s="166"/>
      <c r="D1946" s="615"/>
      <c r="E1946" s="495"/>
      <c r="F1946" s="495"/>
      <c r="G1946" s="495"/>
      <c r="H1946" s="495"/>
      <c r="I1946" s="495"/>
      <c r="J1946" s="495"/>
      <c r="K1946" s="495"/>
      <c r="L1946" s="495"/>
      <c r="M1946" s="495"/>
      <c r="N1946" s="495"/>
      <c r="O1946" s="733"/>
      <c r="P1946" s="33"/>
      <c r="Q1946" s="33"/>
      <c r="R1946" s="33"/>
      <c r="S1946" s="174"/>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6" hidden="1" customHeight="1">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3"/>
      <c r="Q1947" s="33"/>
      <c r="R1947" s="33"/>
      <c r="S1947" s="174"/>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4.5" hidden="1" customHeight="1" thickBot="1">
      <c r="A1948" s="815"/>
      <c r="D1948" s="180"/>
      <c r="O1948" s="573"/>
      <c r="P1948" s="497"/>
      <c r="Q1948" s="497"/>
      <c r="R1948" s="497"/>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ht="13.5" hidden="1" thickBot="1">
      <c r="A1949" s="815"/>
      <c r="D1949" s="1534" t="str">
        <f>Translations!$B$160</f>
        <v>Pastabos:</v>
      </c>
      <c r="E1949" s="1535"/>
      <c r="F1949" s="1539"/>
      <c r="G1949" s="1540"/>
      <c r="H1949" s="1540"/>
      <c r="I1949" s="1540"/>
      <c r="J1949" s="1540"/>
      <c r="K1949" s="1540"/>
      <c r="L1949" s="1540"/>
      <c r="M1949" s="1540"/>
      <c r="N1949" s="1541"/>
      <c r="O1949" s="573"/>
      <c r="P1949" s="497"/>
      <c r="Q1949" s="497"/>
      <c r="R1949" s="497"/>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c r="A1950" s="808"/>
      <c r="B1950" s="495"/>
      <c r="C1950" s="499"/>
      <c r="D1950" s="500"/>
      <c r="E1950" s="501"/>
      <c r="F1950" s="499"/>
      <c r="G1950" s="502"/>
      <c r="H1950" s="502"/>
      <c r="I1950" s="502"/>
      <c r="J1950" s="502"/>
      <c r="K1950" s="502"/>
      <c r="L1950" s="502"/>
      <c r="M1950" s="502"/>
      <c r="N1950" s="502"/>
      <c r="O1950" s="740"/>
      <c r="P1950" s="494"/>
      <c r="Q1950" s="494"/>
      <c r="R1950" s="494"/>
      <c r="S1950" s="58"/>
      <c r="T1950" s="58"/>
      <c r="U1950" s="498"/>
      <c r="V1950" s="58"/>
      <c r="W1950" s="58"/>
      <c r="X1950" s="498"/>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c r="A1951" s="813"/>
      <c r="B1951" s="495"/>
      <c r="C1951" s="495"/>
      <c r="D1951" s="180"/>
      <c r="E1951" s="496"/>
      <c r="F1951" s="495"/>
      <c r="G1951" s="487"/>
      <c r="H1951" s="487"/>
      <c r="I1951" s="487"/>
      <c r="J1951" s="487"/>
      <c r="K1951" s="495"/>
      <c r="L1951" s="487"/>
      <c r="M1951" s="487"/>
      <c r="N1951" s="487"/>
      <c r="O1951" s="740"/>
      <c r="P1951" s="494"/>
      <c r="Q1951" s="494"/>
      <c r="R1951" s="494"/>
      <c r="S1951" s="23"/>
      <c r="T1951" s="27" t="str">
        <f>IF(ISBLANK(E1952),"",MATCH(E1952,CNTR_SourceStreamNames,0))</f>
        <v/>
      </c>
      <c r="U1951" s="618"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1"/>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3" t="s">
        <v>262</v>
      </c>
    </row>
    <row r="1952" spans="1:78" s="142" customFormat="1" ht="15" hidden="1" customHeight="1" thickBot="1">
      <c r="A1952" s="869" t="str">
        <f>IF(E1952="","","PRINT")</f>
        <v/>
      </c>
      <c r="B1952" s="166"/>
      <c r="C1952" s="617">
        <f>C1925+1</f>
        <v>71</v>
      </c>
      <c r="D1952" s="166"/>
      <c r="E1952" s="1542"/>
      <c r="F1952" s="1543"/>
      <c r="G1952" s="1543"/>
      <c r="H1952" s="1543"/>
      <c r="I1952" s="1543"/>
      <c r="J1952" s="1544"/>
      <c r="K1952" s="1545" t="str">
        <f>IF(E1953="","",INDEX(EUwideConstants!$F$353:$F$394,MATCH(E1953,EUConst_TierActivityListNames,0)))</f>
        <v/>
      </c>
      <c r="L1952" s="1546"/>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3"/>
      <c r="T1952" s="509" t="s">
        <v>393</v>
      </c>
      <c r="U1952" s="23"/>
      <c r="V1952" s="78"/>
      <c r="W1952" s="56"/>
      <c r="X1952" s="58"/>
      <c r="Y1952" s="58"/>
      <c r="Z1952" s="58"/>
      <c r="AA1952" s="58"/>
      <c r="AB1952" s="58"/>
      <c r="AC1952" s="58"/>
      <c r="AD1952" s="58"/>
      <c r="AE1952" s="58"/>
      <c r="AF1952" s="58"/>
      <c r="AG1952" s="58"/>
      <c r="AH1952" s="58"/>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6"/>
      <c r="BZ1952" s="619" t="b">
        <f>CNTR_CalcRelevant=EUconst_NotRelevant</f>
        <v>0</v>
      </c>
    </row>
    <row r="1953" spans="1:78" s="142" customFormat="1" ht="15" hidden="1" customHeight="1" thickBot="1">
      <c r="A1953" s="808"/>
      <c r="B1953" s="166"/>
      <c r="C1953" s="166"/>
      <c r="D1953" s="166"/>
      <c r="E1953" s="1547" t="str">
        <f>IF(ISBLANK(E1952),"",IF(INDEX(B_InstallationDescription!$E$71:$E$145,MATCH(U1951,B_InstallationDescription!$D$71:$D$145,0))&gt;0,INDEX(B_InstallationDescription!$E$71:$E$145,MATCH(U1951,B_InstallationDescription!$D$71:$D$145,0)),""))</f>
        <v/>
      </c>
      <c r="F1953" s="1548"/>
      <c r="G1953" s="1548"/>
      <c r="H1953" s="1548"/>
      <c r="I1953" s="1548"/>
      <c r="J1953" s="1549"/>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4"/>
      <c r="AH1953" s="30"/>
      <c r="AI1953" s="30"/>
      <c r="AJ1953" s="504"/>
      <c r="AK1953" s="504"/>
      <c r="AL1953" s="342"/>
      <c r="AM1953" s="27" t="s">
        <v>308</v>
      </c>
      <c r="AN1953" s="505"/>
      <c r="AO1953" s="505"/>
      <c r="AP1953" s="30"/>
      <c r="AQ1953" s="30"/>
      <c r="AR1953" s="30"/>
      <c r="AS1953" s="30"/>
      <c r="AT1953" s="30"/>
      <c r="AU1953" s="30"/>
      <c r="AV1953" s="27" t="s">
        <v>315</v>
      </c>
      <c r="AW1953" s="30"/>
      <c r="AX1953" s="492"/>
      <c r="AY1953" s="30"/>
      <c r="AZ1953" s="30"/>
      <c r="BA1953" s="30"/>
      <c r="BB1953" s="27" t="s">
        <v>219</v>
      </c>
      <c r="BC1953" s="30"/>
      <c r="BD1953" s="30"/>
      <c r="BE1953" s="30"/>
      <c r="BF1953" s="30"/>
      <c r="BG1953" s="27"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0"/>
      <c r="BZ1953" s="30"/>
    </row>
    <row r="1954" spans="1:78" s="142" customFormat="1" ht="5.0999999999999996" hidden="1" customHeight="1" thickBot="1">
      <c r="A1954" s="808"/>
      <c r="B1954" s="166"/>
      <c r="C1954" s="166"/>
      <c r="D1954" s="166"/>
      <c r="E1954" s="166"/>
      <c r="F1954" s="166"/>
      <c r="G1954" s="166"/>
      <c r="M1954" s="143"/>
      <c r="N1954" s="143"/>
      <c r="O1954" s="733"/>
      <c r="P1954" s="33"/>
      <c r="Q1954" s="33"/>
      <c r="R1954" s="33"/>
      <c r="S1954" s="23"/>
      <c r="T1954" s="23"/>
      <c r="U1954" s="23"/>
      <c r="V1954" s="78"/>
      <c r="W1954" s="30"/>
      <c r="X1954" s="30"/>
      <c r="Y1954" s="494"/>
      <c r="Z1954" s="30"/>
      <c r="AA1954" s="30"/>
      <c r="AB1954" s="30"/>
      <c r="AC1954" s="30"/>
      <c r="AD1954" s="30"/>
      <c r="AE1954" s="30"/>
      <c r="AF1954" s="58"/>
      <c r="AG1954" s="30"/>
      <c r="AH1954" s="30"/>
      <c r="AI1954" s="30"/>
      <c r="AJ1954" s="504"/>
      <c r="AK1954" s="504"/>
      <c r="AL1954" s="342"/>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hidden="1" customHeight="1" thickBot="1">
      <c r="A1955" s="808"/>
      <c r="B1955" s="166"/>
      <c r="C1955" s="166"/>
      <c r="D1955" s="166"/>
      <c r="E1955" s="1550" t="str">
        <f>IF(E1952="","",IF(T1953=TRUE,HYPERLINK("#JUMP_14",EUconst_MsgGoOnPFC),HYPERLINK("#JUMP_E_8",EUconst_FurtherGuidancePoint1)))</f>
        <v/>
      </c>
      <c r="F1955" s="1550"/>
      <c r="G1955" s="1550"/>
      <c r="H1955" s="1550"/>
      <c r="I1955" s="1550"/>
      <c r="J1955" s="1550"/>
      <c r="K1955" s="1550"/>
      <c r="L1955" s="1550"/>
      <c r="M1955" s="1550"/>
      <c r="N1955" s="143"/>
      <c r="O1955" s="733"/>
      <c r="P1955" s="33"/>
      <c r="Q1955" s="352" t="str">
        <f>EUconst_SumNonSustBioCO2 &amp; "_" &amp; K1952</f>
        <v>SUM_bioNonSustCO2_</v>
      </c>
      <c r="R1955" s="707"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4"/>
      <c r="AK1955" s="504"/>
      <c r="AL1955" s="342"/>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hidden="1" customHeight="1" thickBot="1">
      <c r="A1956" s="808"/>
      <c r="B1956" s="166"/>
      <c r="C1956" s="166"/>
      <c r="D1956" s="166"/>
      <c r="E1956" s="166"/>
      <c r="F1956" s="166"/>
      <c r="G1956" s="166"/>
      <c r="M1956" s="143"/>
      <c r="N1956" s="143"/>
      <c r="O1956" s="733"/>
      <c r="P1956" s="23"/>
      <c r="Q1956" s="23"/>
      <c r="R1956" s="23"/>
      <c r="S1956" s="23"/>
      <c r="T1956" s="23"/>
      <c r="U1956" s="23"/>
      <c r="V1956" s="30"/>
      <c r="W1956" s="30"/>
      <c r="X1956" s="30"/>
      <c r="Y1956" s="494"/>
      <c r="Z1956" s="30"/>
      <c r="AA1956" s="30"/>
      <c r="AB1956" s="30"/>
      <c r="AC1956" s="30"/>
      <c r="AD1956" s="30"/>
      <c r="AE1956" s="30"/>
      <c r="AF1956" s="58"/>
      <c r="AG1956" s="30"/>
      <c r="AH1956" s="30"/>
      <c r="AI1956" s="30"/>
      <c r="AJ1956" s="504"/>
      <c r="AK1956" s="504"/>
      <c r="AL1956" s="342"/>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hidden="1" customHeight="1" thickBot="1">
      <c r="A1957" s="808"/>
      <c r="B1957" s="166"/>
      <c r="C1957" s="814" t="s">
        <v>4</v>
      </c>
      <c r="D1957" s="512" t="str">
        <f>Translations!$B$622</f>
        <v>VD:</v>
      </c>
      <c r="E1957" s="1560" t="str">
        <f>Translations!$B$667</f>
        <v>Ar veiklos duomenys gaunami sudedant išmatuotus kiekius (t. y. ne atliekant nuolatinius matavimus)?</v>
      </c>
      <c r="F1957" s="1560"/>
      <c r="G1957" s="1560"/>
      <c r="H1957" s="1560"/>
      <c r="I1957" s="1560"/>
      <c r="J1957" s="1560"/>
      <c r="K1957" s="1560"/>
      <c r="L1957" s="1179"/>
      <c r="M1957" s="507"/>
      <c r="O1957" s="733"/>
      <c r="P1957" s="23"/>
      <c r="Q1957" s="23"/>
      <c r="R1957" s="23"/>
      <c r="S1957" s="23"/>
      <c r="T1957" s="23"/>
      <c r="U1957" s="23"/>
      <c r="V1957" s="30"/>
      <c r="W1957" s="30"/>
      <c r="X1957" s="30"/>
      <c r="Y1957" s="494"/>
      <c r="Z1957" s="30"/>
      <c r="AA1957" s="30"/>
      <c r="AB1957" s="30"/>
      <c r="AC1957" s="1172" t="b">
        <f>AND(E1952&lt;&gt;"",T1953&lt;&gt;TRUE)</f>
        <v>0</v>
      </c>
      <c r="AD1957" s="30"/>
      <c r="AE1957" s="30"/>
      <c r="AF1957" s="58"/>
      <c r="AG1957" s="30"/>
      <c r="AH1957" s="30"/>
      <c r="AI1957" s="30"/>
      <c r="AJ1957" s="504"/>
      <c r="AK1957" s="504"/>
      <c r="AL1957" s="342"/>
      <c r="AM1957" s="30"/>
      <c r="AN1957" s="30"/>
      <c r="AO1957" s="30"/>
      <c r="AP1957" s="30"/>
      <c r="AQ1957" s="30"/>
      <c r="AR1957" s="30"/>
      <c r="AS1957" s="30"/>
      <c r="AT1957" s="1172"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2" t="b">
        <f>OR(CNTR_CalcRelevant=EUconst_NotRelevant,AND(COUNTA(CNTR_ListRelevantSections)&gt;0,OR(T1953=TRUE,E1952="")))</f>
        <v>1</v>
      </c>
    </row>
    <row r="1958" spans="1:78" s="142" customFormat="1" ht="5.0999999999999996" hidden="1" customHeight="1" thickBot="1">
      <c r="A1958" s="808"/>
      <c r="B1958" s="166"/>
      <c r="C1958" s="166"/>
      <c r="D1958" s="166"/>
      <c r="E1958" s="166"/>
      <c r="F1958" s="166"/>
      <c r="G1958" s="166"/>
      <c r="H1958" s="495"/>
      <c r="I1958" s="495"/>
      <c r="J1958" s="495"/>
      <c r="K1958" s="495"/>
      <c r="L1958" s="495"/>
      <c r="M1958" s="507"/>
      <c r="O1958" s="733"/>
      <c r="P1958" s="23"/>
      <c r="Q1958" s="23"/>
      <c r="R1958" s="23"/>
      <c r="S1958" s="23"/>
      <c r="T1958" s="23"/>
      <c r="U1958" s="23"/>
      <c r="V1958" s="30"/>
      <c r="W1958" s="30"/>
      <c r="X1958" s="30"/>
      <c r="Y1958" s="494"/>
      <c r="Z1958" s="30"/>
      <c r="AA1958" s="30"/>
      <c r="AB1958" s="30"/>
      <c r="AC1958" s="492"/>
      <c r="AD1958" s="30"/>
      <c r="AE1958" s="30"/>
      <c r="AF1958" s="58"/>
      <c r="AG1958" s="30"/>
      <c r="AH1958" s="30"/>
      <c r="AI1958" s="30"/>
      <c r="AJ1958" s="504"/>
      <c r="AK1958" s="504"/>
      <c r="AL1958" s="342"/>
      <c r="AM1958" s="30"/>
      <c r="AN1958" s="30"/>
      <c r="AO1958" s="30"/>
      <c r="AP1958" s="30"/>
      <c r="AQ1958" s="30"/>
      <c r="AR1958" s="30"/>
      <c r="AS1958" s="30"/>
      <c r="AT1958" s="492"/>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2"/>
    </row>
    <row r="1959" spans="1:78" s="142" customFormat="1" ht="12.75" hidden="1" customHeight="1" thickBot="1">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3"/>
      <c r="Q1959" s="23"/>
      <c r="R1959" s="23"/>
      <c r="S1959" s="23"/>
      <c r="T1959" s="23"/>
      <c r="U1959" s="23"/>
      <c r="V1959" s="30"/>
      <c r="W1959" s="30"/>
      <c r="X1959" s="30"/>
      <c r="Y1959" s="494"/>
      <c r="Z1959" s="30"/>
      <c r="AA1959" s="30"/>
      <c r="AB1959" s="30"/>
      <c r="AC1959" s="1172" t="b">
        <f>AC1957</f>
        <v>0</v>
      </c>
      <c r="AD1959" s="30"/>
      <c r="AE1959" s="30"/>
      <c r="AF1959" s="58"/>
      <c r="AG1959" s="30"/>
      <c r="AH1959" s="30"/>
      <c r="AI1959" s="30"/>
      <c r="AJ1959" s="504"/>
      <c r="AK1959" s="504"/>
      <c r="AL1959" s="342"/>
      <c r="AM1959" s="30"/>
      <c r="AN1959" s="30"/>
      <c r="AO1959" s="30"/>
      <c r="AP1959" s="30"/>
      <c r="AQ1959" s="30"/>
      <c r="AR1959" s="30"/>
      <c r="AS1959" s="30"/>
      <c r="AT1959" s="1172"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2" t="b">
        <f>OR(BZ1957,AND(NOT(ISBLANK(L1957)),L1957=FALSE))</f>
        <v>1</v>
      </c>
    </row>
    <row r="1960" spans="1:78" s="142" customFormat="1" ht="5.0999999999999996" hidden="1" customHeight="1" thickBot="1">
      <c r="A1960" s="808"/>
      <c r="B1960" s="166"/>
      <c r="C1960" s="166"/>
      <c r="D1960" s="166"/>
      <c r="E1960" s="166"/>
      <c r="F1960" s="166"/>
      <c r="G1960" s="166"/>
      <c r="M1960" s="143"/>
      <c r="N1960" s="143"/>
      <c r="O1960" s="733"/>
      <c r="P1960" s="23"/>
      <c r="Q1960" s="23"/>
      <c r="R1960" s="23"/>
      <c r="S1960" s="23"/>
      <c r="T1960" s="23"/>
      <c r="U1960" s="23"/>
      <c r="V1960" s="30"/>
      <c r="W1960" s="30"/>
      <c r="X1960" s="30"/>
      <c r="Y1960" s="494"/>
      <c r="Z1960" s="30"/>
      <c r="AA1960" s="30"/>
      <c r="AB1960" s="30"/>
      <c r="AC1960" s="30"/>
      <c r="AD1960" s="30"/>
      <c r="AE1960" s="30"/>
      <c r="AF1960" s="58"/>
      <c r="AG1960" s="30"/>
      <c r="AH1960" s="30"/>
      <c r="AI1960" s="30"/>
      <c r="AJ1960" s="504"/>
      <c r="AK1960" s="504"/>
      <c r="AL1960" s="342"/>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hidden="1" customHeight="1" thickBot="1">
      <c r="A1961" s="808"/>
      <c r="B1961" s="166"/>
      <c r="C1961" s="166"/>
      <c r="D1961" s="166"/>
      <c r="E1961" s="166"/>
      <c r="F1961" s="506" t="str">
        <f>Translations!$B$333</f>
        <v>Pakopa</v>
      </c>
      <c r="G1961" s="1557" t="str">
        <f>Translations!$B$672</f>
        <v>pakopos aprašas</v>
      </c>
      <c r="H1961" s="1557"/>
      <c r="I1961" s="1555" t="str">
        <f>Translations!$B$158</f>
        <v>Vienetas</v>
      </c>
      <c r="J1961" s="1555"/>
      <c r="K1961" s="1555" t="str">
        <f>Translations!$B$673</f>
        <v>Vertė</v>
      </c>
      <c r="L1961" s="1555"/>
      <c r="M1961" s="507" t="str">
        <f>Translations!$B$610</f>
        <v>klaida</v>
      </c>
      <c r="O1961" s="733"/>
      <c r="P1961" s="508"/>
      <c r="Q1961" s="352" t="str">
        <f>EUconst_SumEnergyIN &amp; "_" &amp; K1952</f>
        <v>SUM_EnergyIN_</v>
      </c>
      <c r="R1961" s="399" t="str">
        <f>IF(OR(K1952="",T1953)=TRUE,"",INDEX(BC1967:BE1967,MATCH(K1952,BC1962:BE1962,0)))</f>
        <v/>
      </c>
      <c r="S1961" s="30"/>
      <c r="T1961" s="489"/>
      <c r="U1961" s="30"/>
      <c r="V1961" s="509" t="s">
        <v>303</v>
      </c>
      <c r="W1961" s="30"/>
      <c r="X1961" s="30"/>
      <c r="Y1961" s="494" t="s">
        <v>566</v>
      </c>
      <c r="Z1961" s="494" t="s">
        <v>318</v>
      </c>
      <c r="AA1961" s="30"/>
      <c r="AB1961" s="30"/>
      <c r="AC1961" s="505" t="s">
        <v>309</v>
      </c>
      <c r="AD1961" s="30"/>
      <c r="AE1961" s="30"/>
      <c r="AF1961" s="492" t="s">
        <v>305</v>
      </c>
      <c r="AG1961" s="492" t="s">
        <v>306</v>
      </c>
      <c r="AH1961" s="494" t="s">
        <v>304</v>
      </c>
      <c r="AI1961" s="504" t="s">
        <v>307</v>
      </c>
      <c r="AJ1961" s="504" t="s">
        <v>567</v>
      </c>
      <c r="AK1961" s="510" t="s">
        <v>311</v>
      </c>
      <c r="AL1961" s="342"/>
      <c r="AM1961" s="30"/>
      <c r="AN1961" s="492" t="s">
        <v>305</v>
      </c>
      <c r="AO1961" s="492" t="s">
        <v>306</v>
      </c>
      <c r="AP1961" s="511" t="s">
        <v>310</v>
      </c>
      <c r="AQ1961" s="504" t="s">
        <v>569</v>
      </c>
      <c r="AR1961" s="504" t="s">
        <v>568</v>
      </c>
      <c r="AS1961" s="510" t="s">
        <v>609</v>
      </c>
      <c r="AT1961" s="510" t="s">
        <v>609</v>
      </c>
      <c r="AU1961" s="30"/>
      <c r="AV1961" s="492"/>
      <c r="AW1961" s="492"/>
      <c r="AX1961" s="492" t="s">
        <v>321</v>
      </c>
      <c r="AY1961" s="492"/>
      <c r="AZ1961" s="492"/>
      <c r="BA1961" s="492"/>
      <c r="BB1961" s="492"/>
      <c r="BC1961" s="492"/>
      <c r="BD1961" s="492"/>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3" t="s">
        <v>262</v>
      </c>
    </row>
    <row r="1962" spans="1:78" s="142" customFormat="1" ht="12.75" hidden="1" customHeight="1" thickBot="1">
      <c r="A1962" s="808"/>
      <c r="B1962" s="166"/>
      <c r="C1962" s="777" t="s">
        <v>196</v>
      </c>
      <c r="D1962" s="512" t="str">
        <f>Translations!$B$622</f>
        <v>VD:</v>
      </c>
      <c r="E1962" s="513"/>
      <c r="F1962" s="402"/>
      <c r="G1962" s="1532" t="str">
        <f>IF(OR(ISBLANK(F1962),F1962=EUconst_NoTier),"",IF(Z1962=0,EUconst_NA,IF(ISERROR(Z1962),"",Z1962)))</f>
        <v/>
      </c>
      <c r="H1962" s="1533"/>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0"/>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0"/>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0"/>
      <c r="AV1962" s="492" t="s">
        <v>314</v>
      </c>
      <c r="AW1962" s="492" t="s">
        <v>319</v>
      </c>
      <c r="AX1962" s="524"/>
      <c r="AY1962" s="30" t="s">
        <v>542</v>
      </c>
      <c r="AZ1962" s="30"/>
      <c r="BA1962" s="30"/>
      <c r="BB1962" s="504"/>
      <c r="BC1962" s="493" t="str">
        <f>EUconst_Fuel</f>
        <v>Degimas</v>
      </c>
      <c r="BD1962" s="493" t="str">
        <f>EUconst_ProcessCarbonate</f>
        <v>Proceso metu išsiskiriančios ŠESD</v>
      </c>
      <c r="BE1962" s="493"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4" t="b">
        <f>BZ1957</f>
        <v>1</v>
      </c>
    </row>
    <row r="1963" spans="1:78" s="142" customFormat="1" ht="5.0999999999999996" hidden="1" customHeight="1" thickBot="1">
      <c r="A1963" s="808"/>
      <c r="B1963" s="166"/>
      <c r="C1963" s="814"/>
      <c r="D1963" s="306"/>
      <c r="F1963" s="143"/>
      <c r="G1963" s="143"/>
      <c r="H1963" s="143" t="s">
        <v>236</v>
      </c>
      <c r="I1963" s="525"/>
      <c r="J1963" s="525"/>
      <c r="K1963" s="143"/>
      <c r="L1963" s="143"/>
      <c r="M1963" s="710"/>
      <c r="O1963" s="733"/>
      <c r="P1963" s="33"/>
      <c r="Q1963" s="33"/>
      <c r="R1963" s="33"/>
      <c r="S1963" s="30"/>
      <c r="T1963" s="155"/>
      <c r="U1963" s="497"/>
      <c r="V1963" s="30"/>
      <c r="W1963" s="30"/>
      <c r="X1963" s="497"/>
      <c r="Y1963" s="526"/>
      <c r="Z1963" s="30"/>
      <c r="AA1963" s="30"/>
      <c r="AB1963" s="30"/>
      <c r="AC1963" s="30"/>
      <c r="AD1963" s="30"/>
      <c r="AE1963" s="30"/>
      <c r="AF1963" s="30"/>
      <c r="AG1963" s="30"/>
      <c r="AH1963" s="30"/>
      <c r="AI1963" s="30"/>
      <c r="AJ1963" s="30"/>
      <c r="AK1963" s="30"/>
      <c r="AL1963" s="342"/>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3"/>
    </row>
    <row r="1964" spans="1:78" s="142" customFormat="1" ht="12.75" hidden="1" customHeight="1" thickBot="1">
      <c r="A1964" s="808"/>
      <c r="B1964" s="166"/>
      <c r="C1964" s="814" t="s">
        <v>197</v>
      </c>
      <c r="D1964" s="512" t="str">
        <f>Translations!$B$634</f>
        <v>(prelim.) ITF:</v>
      </c>
      <c r="E1964" s="513"/>
      <c r="F1964" s="527"/>
      <c r="G1964" s="1532" t="str">
        <f t="shared" ref="G1964:G1970" si="490">IF(OR(ISBLANK(F1964),F1964=EUconst_NoTier),"",IF(Z1964=0,EUconst_NotApplicable,IF(ISERROR(Z1964),"",Z1964)))</f>
        <v/>
      </c>
      <c r="H1964" s="1556"/>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3"/>
      <c r="Q1964" s="33"/>
      <c r="R1964" s="33"/>
      <c r="S1964" s="30"/>
      <c r="T1964" s="530" t="str">
        <f>EUconst_CNTR_EF&amp;E1953</f>
        <v>EF_</v>
      </c>
      <c r="U1964" s="497"/>
      <c r="V1964" s="531" t="str">
        <f>V1962</f>
        <v/>
      </c>
      <c r="W1964" s="30"/>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0"/>
      <c r="AC1964" s="535" t="b">
        <f>AND(AC1962,Y1964&lt;&gt;EUconst_NA)</f>
        <v>0</v>
      </c>
      <c r="AD1964" s="30"/>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0"/>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0"/>
      <c r="BA1964" s="30"/>
      <c r="BB1964" s="547" t="s">
        <v>594</v>
      </c>
      <c r="BC1964" s="546" t="str">
        <f>IF(K1952=BC1962,AR1962*IF(AJ1964=EUconst_tCO2pTJ,(AR1965/1000),1)*AR1964*AR1966*AR1970,"")</f>
        <v/>
      </c>
      <c r="BD1964" s="524" t="str">
        <f>IF(K1952=BD1962,AR1962*AR1964*AR1967*AR1970,"")</f>
        <v/>
      </c>
      <c r="BE1964" s="523"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1" t="b">
        <f>OR(BZ1962,Y1964=EUconst_NA)</f>
        <v>1</v>
      </c>
    </row>
    <row r="1965" spans="1:78" s="142" customFormat="1" ht="12.75" hidden="1" customHeight="1" thickBot="1">
      <c r="A1965" s="808"/>
      <c r="B1965" s="166"/>
      <c r="C1965" s="814" t="s">
        <v>198</v>
      </c>
      <c r="D1965" s="512" t="str">
        <f>Translations!$B$636</f>
        <v>GŠV:</v>
      </c>
      <c r="E1965" s="513"/>
      <c r="F1965" s="548"/>
      <c r="G1965" s="1532" t="str">
        <f t="shared" si="490"/>
        <v/>
      </c>
      <c r="H1965" s="1533"/>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3"/>
      <c r="Q1965" s="33"/>
      <c r="R1965" s="33"/>
      <c r="S1965" s="30"/>
      <c r="T1965" s="552" t="str">
        <f>EUconst_CNTR_NCV&amp;E1953</f>
        <v>NCV_</v>
      </c>
      <c r="U1965" s="497"/>
      <c r="V1965" s="553" t="str">
        <f t="shared" ref="V1965:V1970" si="496">V1964</f>
        <v/>
      </c>
      <c r="W1965" s="30"/>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0"/>
      <c r="AC1965" s="557" t="b">
        <f>AND(AC1962,Y1965&lt;&gt;EUconst_NA)</f>
        <v>0</v>
      </c>
      <c r="AD1965" s="30"/>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0"/>
      <c r="AV1965" s="567" t="b">
        <f t="shared" si="493"/>
        <v>0</v>
      </c>
      <c r="AW1965" s="568" t="b">
        <f t="shared" si="494"/>
        <v>0</v>
      </c>
      <c r="AX1965" s="30"/>
      <c r="AY1965" s="553" t="b">
        <f t="shared" si="495"/>
        <v>0</v>
      </c>
      <c r="AZ1965" s="30"/>
      <c r="BA1965" s="30"/>
      <c r="BB1965" s="547" t="s">
        <v>595</v>
      </c>
      <c r="BC1965" s="546" t="str">
        <f>IF(K1952=BC1962,AR1962*IF(AJ1964=EUconst_tCO2pTJ,(AR1965/1000),1)*AR1964*AR1966*AR1969,"")</f>
        <v/>
      </c>
      <c r="BD1965" s="524" t="str">
        <f>IF(K1952=BD1962,AR1962*AR1964*AR1967*AR1969,"")</f>
        <v/>
      </c>
      <c r="BE1965" s="523"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3" t="b">
        <f>OR(BZ1962,Y1965=EUconst_NA)</f>
        <v>1</v>
      </c>
    </row>
    <row r="1966" spans="1:78" s="142" customFormat="1" ht="12.75" hidden="1" customHeight="1" thickBot="1">
      <c r="A1966" s="808"/>
      <c r="B1966" s="166"/>
      <c r="C1966" s="814" t="s">
        <v>199</v>
      </c>
      <c r="D1966" s="512" t="str">
        <f>Translations!$B$638</f>
        <v>OksK:</v>
      </c>
      <c r="E1966" s="513"/>
      <c r="F1966" s="548"/>
      <c r="G1966" s="1532" t="str">
        <f t="shared" si="490"/>
        <v/>
      </c>
      <c r="H1966" s="1533"/>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3"/>
      <c r="Q1966" s="33"/>
      <c r="R1966" s="33"/>
      <c r="S1966" s="30"/>
      <c r="T1966" s="552" t="str">
        <f>EUconst_CNTR_OxidationFactor&amp;E1953</f>
        <v>OxF_</v>
      </c>
      <c r="U1966" s="497"/>
      <c r="V1966" s="553" t="str">
        <f t="shared" si="496"/>
        <v/>
      </c>
      <c r="W1966" s="30"/>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0"/>
      <c r="AC1966" s="557" t="b">
        <f>AND(AC1962,Y1966&lt;&gt;EUconst_NA)</f>
        <v>0</v>
      </c>
      <c r="AD1966" s="30"/>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0"/>
      <c r="AV1966" s="567" t="b">
        <f t="shared" si="493"/>
        <v>0</v>
      </c>
      <c r="AW1966" s="568" t="b">
        <f t="shared" si="494"/>
        <v>0</v>
      </c>
      <c r="AX1966" s="30"/>
      <c r="AY1966" s="594" t="b">
        <f t="shared" si="495"/>
        <v>0</v>
      </c>
      <c r="AZ1966" s="531" t="b">
        <f>AR1966&gt;100%</f>
        <v>0</v>
      </c>
      <c r="BA1966" s="30"/>
      <c r="BB1966" s="547" t="s">
        <v>290</v>
      </c>
      <c r="BC1966" s="546" t="str">
        <f>IF(K1952=BC1962,AR1962*IF(AJ1964=EUconst_tCO2pTJ,(AR1965/1000),1)*AR1964*AR1966*(1-AR1969),"")</f>
        <v/>
      </c>
      <c r="BD1966" s="524" t="str">
        <f>IF(K1952=BD1962,AR1962*AR1964*AR1967*(1-AR1969),"")</f>
        <v/>
      </c>
      <c r="BE1966" s="523"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3" t="b">
        <f>OR(BZ1962,Y1966=EUconst_NA)</f>
        <v>1</v>
      </c>
    </row>
    <row r="1967" spans="1:78" s="142" customFormat="1" ht="12.75" hidden="1" customHeight="1" thickBot="1">
      <c r="A1967" s="808"/>
      <c r="B1967" s="166"/>
      <c r="C1967" s="814" t="s">
        <v>200</v>
      </c>
      <c r="D1967" s="512" t="str">
        <f>Translations!$B$639</f>
        <v>KonvK:</v>
      </c>
      <c r="E1967" s="513"/>
      <c r="F1967" s="548"/>
      <c r="G1967" s="1532" t="str">
        <f t="shared" si="490"/>
        <v/>
      </c>
      <c r="H1967" s="1533"/>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3"/>
      <c r="Q1967" s="33"/>
      <c r="R1967" s="33"/>
      <c r="S1967" s="30"/>
      <c r="T1967" s="552" t="str">
        <f>EUconst_CNTR_ConversionFactor&amp;E1953</f>
        <v>ConvF_</v>
      </c>
      <c r="U1967" s="497"/>
      <c r="V1967" s="553" t="str">
        <f t="shared" si="496"/>
        <v/>
      </c>
      <c r="W1967" s="30"/>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0"/>
      <c r="AC1967" s="557" t="b">
        <f>AND(AC1962,Y1967&lt;&gt;EUconst_NA)</f>
        <v>0</v>
      </c>
      <c r="AD1967" s="30"/>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0"/>
      <c r="AV1967" s="567" t="b">
        <f t="shared" si="493"/>
        <v>0</v>
      </c>
      <c r="AW1967" s="568" t="b">
        <f t="shared" si="494"/>
        <v>0</v>
      </c>
      <c r="AX1967" s="30"/>
      <c r="AY1967" s="594" t="b">
        <f t="shared" si="495"/>
        <v>0</v>
      </c>
      <c r="AZ1967" s="580" t="b">
        <f>AR1967&gt;100%</f>
        <v>0</v>
      </c>
      <c r="BA1967" s="30"/>
      <c r="BB1967" s="578" t="s">
        <v>487</v>
      </c>
      <c r="BC1967" s="579">
        <f>AR1962*AR1965/1000*(1-AR1969)</f>
        <v>0</v>
      </c>
      <c r="BD1967" s="580">
        <f>BC1967</f>
        <v>0</v>
      </c>
      <c r="BE1967" s="581">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3" t="b">
        <f>OR(BZ1962,Y1967=EUconst_NA)</f>
        <v>1</v>
      </c>
    </row>
    <row r="1968" spans="1:78" s="142" customFormat="1" ht="12.75" hidden="1" customHeight="1" thickBot="1">
      <c r="A1968" s="808"/>
      <c r="B1968" s="166"/>
      <c r="C1968" s="814" t="s">
        <v>329</v>
      </c>
      <c r="D1968" s="512" t="str">
        <f>Translations!$B$640</f>
        <v>AnglK:</v>
      </c>
      <c r="E1968" s="513"/>
      <c r="F1968" s="548"/>
      <c r="G1968" s="1532" t="str">
        <f t="shared" si="490"/>
        <v/>
      </c>
      <c r="H1968" s="1533"/>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3"/>
      <c r="Q1968" s="33"/>
      <c r="R1968" s="33"/>
      <c r="S1968" s="30"/>
      <c r="T1968" s="552" t="str">
        <f>EUconst_CNTR_CarbonContent&amp;E1953</f>
        <v>CarbC_</v>
      </c>
      <c r="U1968" s="497"/>
      <c r="V1968" s="553" t="str">
        <f t="shared" si="496"/>
        <v/>
      </c>
      <c r="W1968" s="30"/>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0"/>
      <c r="AC1968" s="557" t="b">
        <f>AND(AC1962,Y1968&lt;&gt;EUconst_NA)</f>
        <v>0</v>
      </c>
      <c r="AD1968" s="30"/>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0"/>
      <c r="AV1968" s="567" t="b">
        <f t="shared" si="493"/>
        <v>0</v>
      </c>
      <c r="AW1968" s="568" t="b">
        <f t="shared" si="494"/>
        <v>0</v>
      </c>
      <c r="AX1968" s="546" t="b">
        <f>OR(AND(AJ1962=EUconst_kNm3,AJ1968=EUconst_tCpt),AND(AJ1962=EUconst_t,AJ1968=EUconst_tCpkNm3))</f>
        <v>0</v>
      </c>
      <c r="AY1968" s="553" t="b">
        <f t="shared" si="495"/>
        <v>0</v>
      </c>
      <c r="AZ1968" s="30"/>
      <c r="BA1968" s="30"/>
      <c r="BB1968" s="578" t="s">
        <v>488</v>
      </c>
      <c r="BC1968" s="579">
        <f>AR1962*AR1965/1000*AR1969</f>
        <v>0</v>
      </c>
      <c r="BD1968" s="580">
        <f>BC1968</f>
        <v>0</v>
      </c>
      <c r="BE1968" s="581">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3" t="b">
        <f>OR(BZ1962,Y1968=EUconst_NA)</f>
        <v>1</v>
      </c>
    </row>
    <row r="1969" spans="1:78" s="142" customFormat="1" ht="12.75" hidden="1" customHeight="1" thickBot="1">
      <c r="A1969" s="808"/>
      <c r="B1969" s="166"/>
      <c r="C1969" s="777" t="s">
        <v>330</v>
      </c>
      <c r="D1969" s="512" t="str">
        <f>Translations!$B$641</f>
        <v>BioC:</v>
      </c>
      <c r="E1969" s="513"/>
      <c r="F1969" s="548"/>
      <c r="G1969" s="1532" t="str">
        <f t="shared" si="490"/>
        <v/>
      </c>
      <c r="H1969" s="1533"/>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0"/>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0"/>
      <c r="AC1969" s="557" t="b">
        <f>AND(AC1962,Y1969&lt;&gt;EUconst_NA)</f>
        <v>0</v>
      </c>
      <c r="AD1969" s="30"/>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0"/>
      <c r="AV1969" s="567" t="b">
        <f t="shared" si="493"/>
        <v>0</v>
      </c>
      <c r="AW1969" s="568" t="b">
        <f t="shared" si="494"/>
        <v>0</v>
      </c>
      <c r="AX1969" s="30"/>
      <c r="AY1969" s="594" t="b">
        <f t="shared" si="495"/>
        <v>0</v>
      </c>
      <c r="AZ1969" s="531"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3" t="b">
        <f>OR(BZ1962,Y1969=EUconst_NA)</f>
        <v>1</v>
      </c>
    </row>
    <row r="1970" spans="1:78" s="142" customFormat="1" ht="12.75" hidden="1" customHeight="1" thickBot="1">
      <c r="A1970" s="808"/>
      <c r="B1970" s="166"/>
      <c r="C1970" s="777" t="s">
        <v>454</v>
      </c>
      <c r="D1970" s="512" t="str">
        <f>Translations!$B$647</f>
        <v>Netvar. BioC:</v>
      </c>
      <c r="E1970" s="513"/>
      <c r="F1970" s="597"/>
      <c r="G1970" s="1532" t="str">
        <f t="shared" si="490"/>
        <v/>
      </c>
      <c r="H1970" s="1533"/>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0"/>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0"/>
      <c r="AC1970" s="603" t="b">
        <f>AND(AC1962,Y1970&lt;&gt;EUconst_NA)</f>
        <v>0</v>
      </c>
      <c r="AD1970" s="30"/>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0"/>
      <c r="AV1970" s="613" t="b">
        <f t="shared" si="493"/>
        <v>0</v>
      </c>
      <c r="AW1970" s="614" t="b">
        <f t="shared" si="494"/>
        <v>0</v>
      </c>
      <c r="AX1970" s="30"/>
      <c r="AY1970" s="579" t="b">
        <f t="shared" si="495"/>
        <v>0</v>
      </c>
      <c r="AZ1970" s="580"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80" t="b">
        <f>OR(BZ1962,Y1970=EUconst_NA)</f>
        <v>1</v>
      </c>
    </row>
    <row r="1971" spans="1:78" s="142" customFormat="1" ht="5.0999999999999996" hidden="1" customHeight="1" thickBot="1">
      <c r="A1971" s="808"/>
      <c r="B1971" s="166"/>
      <c r="C1971" s="166"/>
      <c r="D1971" s="180"/>
      <c r="O1971" s="733"/>
      <c r="P1971" s="33"/>
      <c r="Q1971" s="33"/>
      <c r="R1971" s="33"/>
      <c r="S1971" s="174"/>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hidden="1" customHeight="1" thickBot="1">
      <c r="A1972" s="808"/>
      <c r="B1972" s="166"/>
      <c r="C1972" s="166"/>
      <c r="D1972" s="1558" t="str">
        <f>Translations!$B$674</f>
        <v>Pakopos galioja nuo:</v>
      </c>
      <c r="E1972" s="1558"/>
      <c r="F1972" s="1559"/>
      <c r="G1972" s="1052"/>
      <c r="H1972" s="615" t="str">
        <f>Translations!$B$675</f>
        <v>iki:</v>
      </c>
      <c r="I1972" s="1052"/>
      <c r="J1972" s="1536" t="str">
        <f>Translations!$B$676</f>
        <v>Atliekų katalogo numeris (jeigu taikytina):</v>
      </c>
      <c r="K1972" s="1537"/>
      <c r="L1972" s="1537"/>
      <c r="M1972" s="1538"/>
      <c r="N1972" s="1289"/>
      <c r="O1972" s="733"/>
      <c r="P1972" s="33"/>
      <c r="Q1972" s="33"/>
      <c r="R1972" s="33"/>
      <c r="S1972" s="1290"/>
      <c r="T1972" s="492"/>
      <c r="U1972" s="492"/>
      <c r="V1972" s="48" t="b">
        <f>IF(V1962="",FALSE,INDEX(CNTR_IsWaste,MATCH(V1962,MSParameters!$A$218:$A$376,0)))</f>
        <v>0</v>
      </c>
      <c r="W1972" s="1290"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4.5" hidden="1" customHeight="1" thickBot="1">
      <c r="A1973" s="808"/>
      <c r="B1973" s="166"/>
      <c r="C1973" s="166"/>
      <c r="D1973" s="615"/>
      <c r="E1973" s="495"/>
      <c r="F1973" s="495"/>
      <c r="G1973" s="495"/>
      <c r="H1973" s="495"/>
      <c r="I1973" s="495"/>
      <c r="J1973" s="495"/>
      <c r="K1973" s="495"/>
      <c r="L1973" s="495"/>
      <c r="M1973" s="495"/>
      <c r="N1973" s="495"/>
      <c r="O1973" s="733"/>
      <c r="P1973" s="33"/>
      <c r="Q1973" s="33"/>
      <c r="R1973" s="33"/>
      <c r="S1973" s="174"/>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hidden="1" customHeight="1" thickBot="1">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3"/>
      <c r="Q1974" s="33"/>
      <c r="R1974" s="33"/>
      <c r="S1974" s="174"/>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hidden="1" customHeight="1" thickBot="1">
      <c r="A1975" s="815"/>
      <c r="D1975" s="180"/>
      <c r="O1975" s="573"/>
      <c r="P1975" s="497"/>
      <c r="Q1975" s="497"/>
      <c r="R1975" s="497"/>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ht="13.5" hidden="1" thickBot="1">
      <c r="A1976" s="815"/>
      <c r="D1976" s="1534" t="str">
        <f>Translations!$B$160</f>
        <v>Pastabos:</v>
      </c>
      <c r="E1976" s="1535"/>
      <c r="F1976" s="1539"/>
      <c r="G1976" s="1540"/>
      <c r="H1976" s="1540"/>
      <c r="I1976" s="1540"/>
      <c r="J1976" s="1540"/>
      <c r="K1976" s="1540"/>
      <c r="L1976" s="1540"/>
      <c r="M1976" s="1540"/>
      <c r="N1976" s="1541"/>
      <c r="O1976" s="573"/>
      <c r="P1976" s="497"/>
      <c r="Q1976" s="497"/>
      <c r="R1976" s="497"/>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c r="A1977" s="808"/>
      <c r="B1977" s="495"/>
      <c r="C1977" s="499"/>
      <c r="D1977" s="500"/>
      <c r="E1977" s="501"/>
      <c r="F1977" s="499"/>
      <c r="G1977" s="502"/>
      <c r="H1977" s="502"/>
      <c r="I1977" s="502"/>
      <c r="J1977" s="502"/>
      <c r="K1977" s="502"/>
      <c r="L1977" s="502"/>
      <c r="M1977" s="502"/>
      <c r="N1977" s="502"/>
      <c r="O1977" s="740"/>
      <c r="P1977" s="494"/>
      <c r="Q1977" s="494"/>
      <c r="R1977" s="494"/>
      <c r="S1977" s="58"/>
      <c r="T1977" s="58"/>
      <c r="U1977" s="498"/>
      <c r="V1977" s="58"/>
      <c r="W1977" s="58"/>
      <c r="X1977" s="49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c r="A1978" s="813"/>
      <c r="B1978" s="495"/>
      <c r="C1978" s="495"/>
      <c r="D1978" s="180"/>
      <c r="E1978" s="496"/>
      <c r="F1978" s="495"/>
      <c r="G1978" s="487"/>
      <c r="H1978" s="487"/>
      <c r="I1978" s="487"/>
      <c r="J1978" s="487"/>
      <c r="K1978" s="495"/>
      <c r="L1978" s="487"/>
      <c r="M1978" s="487"/>
      <c r="N1978" s="487"/>
      <c r="O1978" s="740"/>
      <c r="P1978" s="494"/>
      <c r="Q1978" s="494"/>
      <c r="R1978" s="494"/>
      <c r="S1978" s="23"/>
      <c r="T1978" s="27" t="str">
        <f>IF(ISBLANK(E1979),"",MATCH(E1979,CNTR_SourceStreamNames,0))</f>
        <v/>
      </c>
      <c r="U1978" s="618"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1"/>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3" t="s">
        <v>262</v>
      </c>
    </row>
    <row r="1979" spans="1:78" s="142" customFormat="1" ht="15" hidden="1" customHeight="1" thickBot="1">
      <c r="A1979" s="869" t="str">
        <f>IF(E1979="","","PRINT")</f>
        <v/>
      </c>
      <c r="B1979" s="166"/>
      <c r="C1979" s="617">
        <f>C1952+1</f>
        <v>72</v>
      </c>
      <c r="D1979" s="166"/>
      <c r="E1979" s="1542"/>
      <c r="F1979" s="1543"/>
      <c r="G1979" s="1543"/>
      <c r="H1979" s="1543"/>
      <c r="I1979" s="1543"/>
      <c r="J1979" s="1544"/>
      <c r="K1979" s="1545" t="str">
        <f>IF(E1980="","",INDEX(EUwideConstants!$F$353:$F$394,MATCH(E1980,EUConst_TierActivityListNames,0)))</f>
        <v/>
      </c>
      <c r="L1979" s="1546"/>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3"/>
      <c r="T1979" s="509" t="s">
        <v>393</v>
      </c>
      <c r="U1979" s="23"/>
      <c r="V1979" s="78"/>
      <c r="W1979" s="56"/>
      <c r="X1979" s="58"/>
      <c r="Y1979" s="58"/>
      <c r="Z1979" s="58"/>
      <c r="AA1979" s="58"/>
      <c r="AB1979" s="58"/>
      <c r="AC1979" s="58"/>
      <c r="AD1979" s="58"/>
      <c r="AE1979" s="58"/>
      <c r="AF1979" s="58"/>
      <c r="AG1979" s="58"/>
      <c r="AH1979" s="58"/>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6"/>
      <c r="BZ1979" s="619" t="b">
        <f>CNTR_CalcRelevant=EUconst_NotRelevant</f>
        <v>0</v>
      </c>
    </row>
    <row r="1980" spans="1:78" s="142" customFormat="1" ht="15" hidden="1" customHeight="1" thickBot="1">
      <c r="A1980" s="808"/>
      <c r="B1980" s="166"/>
      <c r="C1980" s="166"/>
      <c r="D1980" s="166"/>
      <c r="E1980" s="1547" t="str">
        <f>IF(ISBLANK(E1979),"",IF(INDEX(B_InstallationDescription!$E$71:$E$145,MATCH(U1978,B_InstallationDescription!$D$71:$D$145,0))&gt;0,INDEX(B_InstallationDescription!$E$71:$E$145,MATCH(U1978,B_InstallationDescription!$D$71:$D$145,0)),""))</f>
        <v/>
      </c>
      <c r="F1980" s="1548"/>
      <c r="G1980" s="1548"/>
      <c r="H1980" s="1548"/>
      <c r="I1980" s="1548"/>
      <c r="J1980" s="1549"/>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4"/>
      <c r="AH1980" s="30"/>
      <c r="AI1980" s="30"/>
      <c r="AJ1980" s="504"/>
      <c r="AK1980" s="504"/>
      <c r="AL1980" s="342"/>
      <c r="AM1980" s="27" t="s">
        <v>308</v>
      </c>
      <c r="AN1980" s="505"/>
      <c r="AO1980" s="505"/>
      <c r="AP1980" s="30"/>
      <c r="AQ1980" s="30"/>
      <c r="AR1980" s="30"/>
      <c r="AS1980" s="30"/>
      <c r="AT1980" s="30"/>
      <c r="AU1980" s="30"/>
      <c r="AV1980" s="27" t="s">
        <v>315</v>
      </c>
      <c r="AW1980" s="30"/>
      <c r="AX1980" s="492"/>
      <c r="AY1980" s="30"/>
      <c r="AZ1980" s="30"/>
      <c r="BA1980" s="30"/>
      <c r="BB1980" s="27" t="s">
        <v>219</v>
      </c>
      <c r="BC1980" s="30"/>
      <c r="BD1980" s="30"/>
      <c r="BE1980" s="30"/>
      <c r="BF1980" s="30"/>
      <c r="BG1980" s="27"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0"/>
      <c r="BZ1980" s="30"/>
    </row>
    <row r="1981" spans="1:78" s="142" customFormat="1" ht="5.0999999999999996" hidden="1" customHeight="1" thickBot="1">
      <c r="A1981" s="808"/>
      <c r="B1981" s="166"/>
      <c r="C1981" s="166"/>
      <c r="D1981" s="166"/>
      <c r="E1981" s="166"/>
      <c r="F1981" s="166"/>
      <c r="G1981" s="166"/>
      <c r="M1981" s="143"/>
      <c r="N1981" s="143"/>
      <c r="O1981" s="733"/>
      <c r="P1981" s="33"/>
      <c r="Q1981" s="33"/>
      <c r="R1981" s="33"/>
      <c r="S1981" s="23"/>
      <c r="T1981" s="23"/>
      <c r="U1981" s="23"/>
      <c r="V1981" s="78"/>
      <c r="W1981" s="30"/>
      <c r="X1981" s="30"/>
      <c r="Y1981" s="494"/>
      <c r="Z1981" s="30"/>
      <c r="AA1981" s="30"/>
      <c r="AB1981" s="30"/>
      <c r="AC1981" s="30"/>
      <c r="AD1981" s="30"/>
      <c r="AE1981" s="30"/>
      <c r="AF1981" s="58"/>
      <c r="AG1981" s="30"/>
      <c r="AH1981" s="30"/>
      <c r="AI1981" s="30"/>
      <c r="AJ1981" s="504"/>
      <c r="AK1981" s="504"/>
      <c r="AL1981" s="342"/>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7.5" hidden="1" customHeight="1" thickBot="1">
      <c r="A1982" s="808"/>
      <c r="B1982" s="166"/>
      <c r="C1982" s="166"/>
      <c r="D1982" s="166"/>
      <c r="E1982" s="1550" t="str">
        <f>IF(E1979="","",IF(T1980=TRUE,HYPERLINK("#JUMP_14",EUconst_MsgGoOnPFC),HYPERLINK("#JUMP_E_8",EUconst_FurtherGuidancePoint1)))</f>
        <v/>
      </c>
      <c r="F1982" s="1550"/>
      <c r="G1982" s="1550"/>
      <c r="H1982" s="1550"/>
      <c r="I1982" s="1550"/>
      <c r="J1982" s="1550"/>
      <c r="K1982" s="1550"/>
      <c r="L1982" s="1550"/>
      <c r="M1982" s="1550"/>
      <c r="N1982" s="143"/>
      <c r="O1982" s="733"/>
      <c r="P1982" s="33"/>
      <c r="Q1982" s="352" t="str">
        <f>EUconst_SumNonSustBioCO2 &amp; "_" &amp; K1979</f>
        <v>SUM_bioNonSustCO2_</v>
      </c>
      <c r="R1982" s="707"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4"/>
      <c r="AK1982" s="504"/>
      <c r="AL1982" s="342"/>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4.5" hidden="1" customHeight="1" thickBot="1">
      <c r="A1983" s="808"/>
      <c r="B1983" s="166"/>
      <c r="C1983" s="166"/>
      <c r="D1983" s="166"/>
      <c r="E1983" s="166"/>
      <c r="F1983" s="166"/>
      <c r="G1983" s="166"/>
      <c r="M1983" s="143"/>
      <c r="N1983" s="143"/>
      <c r="O1983" s="733"/>
      <c r="P1983" s="23"/>
      <c r="Q1983" s="23"/>
      <c r="R1983" s="23"/>
      <c r="S1983" s="23"/>
      <c r="T1983" s="23"/>
      <c r="U1983" s="23"/>
      <c r="V1983" s="30"/>
      <c r="W1983" s="30"/>
      <c r="X1983" s="30"/>
      <c r="Y1983" s="494"/>
      <c r="Z1983" s="30"/>
      <c r="AA1983" s="30"/>
      <c r="AB1983" s="30"/>
      <c r="AC1983" s="30"/>
      <c r="AD1983" s="30"/>
      <c r="AE1983" s="30"/>
      <c r="AF1983" s="58"/>
      <c r="AG1983" s="30"/>
      <c r="AH1983" s="30"/>
      <c r="AI1983" s="30"/>
      <c r="AJ1983" s="504"/>
      <c r="AK1983" s="504"/>
      <c r="AL1983" s="342"/>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hidden="1" customHeight="1" thickBot="1">
      <c r="A1984" s="808"/>
      <c r="B1984" s="166"/>
      <c r="C1984" s="814" t="s">
        <v>4</v>
      </c>
      <c r="D1984" s="512" t="str">
        <f>Translations!$B$622</f>
        <v>VD:</v>
      </c>
      <c r="E1984" s="1560" t="str">
        <f>Translations!$B$667</f>
        <v>Ar veiklos duomenys gaunami sudedant išmatuotus kiekius (t. y. ne atliekant nuolatinius matavimus)?</v>
      </c>
      <c r="F1984" s="1560"/>
      <c r="G1984" s="1560"/>
      <c r="H1984" s="1560"/>
      <c r="I1984" s="1560"/>
      <c r="J1984" s="1560"/>
      <c r="K1984" s="1560"/>
      <c r="L1984" s="1179"/>
      <c r="M1984" s="507"/>
      <c r="O1984" s="733"/>
      <c r="P1984" s="23"/>
      <c r="Q1984" s="23"/>
      <c r="R1984" s="23"/>
      <c r="S1984" s="23"/>
      <c r="T1984" s="23"/>
      <c r="U1984" s="23"/>
      <c r="V1984" s="30"/>
      <c r="W1984" s="30"/>
      <c r="X1984" s="30"/>
      <c r="Y1984" s="494"/>
      <c r="Z1984" s="30"/>
      <c r="AA1984" s="30"/>
      <c r="AB1984" s="30"/>
      <c r="AC1984" s="1172" t="b">
        <f>AND(E1979&lt;&gt;"",T1980&lt;&gt;TRUE)</f>
        <v>0</v>
      </c>
      <c r="AD1984" s="30"/>
      <c r="AE1984" s="30"/>
      <c r="AF1984" s="58"/>
      <c r="AG1984" s="30"/>
      <c r="AH1984" s="30"/>
      <c r="AI1984" s="30"/>
      <c r="AJ1984" s="504"/>
      <c r="AK1984" s="504"/>
      <c r="AL1984" s="342"/>
      <c r="AM1984" s="30"/>
      <c r="AN1984" s="30"/>
      <c r="AO1984" s="30"/>
      <c r="AP1984" s="30"/>
      <c r="AQ1984" s="30"/>
      <c r="AR1984" s="30"/>
      <c r="AS1984" s="30"/>
      <c r="AT1984" s="1172"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2" t="b">
        <f>OR(CNTR_CalcRelevant=EUconst_NotRelevant,AND(COUNTA(CNTR_ListRelevantSections)&gt;0,OR(T1980=TRUE,E1979="")))</f>
        <v>1</v>
      </c>
    </row>
    <row r="1985" spans="1:78" s="142" customFormat="1" ht="4.5" hidden="1" customHeight="1" thickBot="1">
      <c r="A1985" s="808"/>
      <c r="B1985" s="166"/>
      <c r="C1985" s="166"/>
      <c r="D1985" s="166"/>
      <c r="E1985" s="166"/>
      <c r="F1985" s="166"/>
      <c r="G1985" s="166"/>
      <c r="H1985" s="495"/>
      <c r="I1985" s="495"/>
      <c r="J1985" s="495"/>
      <c r="K1985" s="495"/>
      <c r="L1985" s="495"/>
      <c r="M1985" s="507"/>
      <c r="O1985" s="733"/>
      <c r="P1985" s="23"/>
      <c r="Q1985" s="23"/>
      <c r="R1985" s="23"/>
      <c r="S1985" s="23"/>
      <c r="T1985" s="23"/>
      <c r="U1985" s="23"/>
      <c r="V1985" s="30"/>
      <c r="W1985" s="30"/>
      <c r="X1985" s="30"/>
      <c r="Y1985" s="494"/>
      <c r="Z1985" s="30"/>
      <c r="AA1985" s="30"/>
      <c r="AB1985" s="30"/>
      <c r="AC1985" s="492"/>
      <c r="AD1985" s="30"/>
      <c r="AE1985" s="30"/>
      <c r="AF1985" s="58"/>
      <c r="AG1985" s="30"/>
      <c r="AH1985" s="30"/>
      <c r="AI1985" s="30"/>
      <c r="AJ1985" s="504"/>
      <c r="AK1985" s="504"/>
      <c r="AL1985" s="342"/>
      <c r="AM1985" s="30"/>
      <c r="AN1985" s="30"/>
      <c r="AO1985" s="30"/>
      <c r="AP1985" s="30"/>
      <c r="AQ1985" s="30"/>
      <c r="AR1985" s="30"/>
      <c r="AS1985" s="30"/>
      <c r="AT1985" s="492"/>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2"/>
    </row>
    <row r="1986" spans="1:78" s="142" customFormat="1" ht="12.75" hidden="1" customHeight="1" thickBot="1">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3"/>
      <c r="Q1986" s="23"/>
      <c r="R1986" s="23"/>
      <c r="S1986" s="23"/>
      <c r="T1986" s="23"/>
      <c r="U1986" s="23"/>
      <c r="V1986" s="30"/>
      <c r="W1986" s="30"/>
      <c r="X1986" s="30"/>
      <c r="Y1986" s="494"/>
      <c r="Z1986" s="30"/>
      <c r="AA1986" s="30"/>
      <c r="AB1986" s="30"/>
      <c r="AC1986" s="1172" t="b">
        <f>AC1984</f>
        <v>0</v>
      </c>
      <c r="AD1986" s="30"/>
      <c r="AE1986" s="30"/>
      <c r="AF1986" s="58"/>
      <c r="AG1986" s="30"/>
      <c r="AH1986" s="30"/>
      <c r="AI1986" s="30"/>
      <c r="AJ1986" s="504"/>
      <c r="AK1986" s="504"/>
      <c r="AL1986" s="342"/>
      <c r="AM1986" s="30"/>
      <c r="AN1986" s="30"/>
      <c r="AO1986" s="30"/>
      <c r="AP1986" s="30"/>
      <c r="AQ1986" s="30"/>
      <c r="AR1986" s="30"/>
      <c r="AS1986" s="30"/>
      <c r="AT1986" s="1172"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2" t="b">
        <f>OR(BZ1984,AND(NOT(ISBLANK(L1984)),L1984=FALSE))</f>
        <v>1</v>
      </c>
    </row>
    <row r="1987" spans="1:78" s="142" customFormat="1" ht="5.0999999999999996" hidden="1" customHeight="1" thickBot="1">
      <c r="A1987" s="808"/>
      <c r="B1987" s="166"/>
      <c r="C1987" s="166"/>
      <c r="D1987" s="166"/>
      <c r="E1987" s="166"/>
      <c r="F1987" s="166"/>
      <c r="G1987" s="166"/>
      <c r="M1987" s="143"/>
      <c r="N1987" s="143"/>
      <c r="O1987" s="733"/>
      <c r="P1987" s="23"/>
      <c r="Q1987" s="23"/>
      <c r="R1987" s="23"/>
      <c r="S1987" s="23"/>
      <c r="T1987" s="23"/>
      <c r="U1987" s="23"/>
      <c r="V1987" s="30"/>
      <c r="W1987" s="30"/>
      <c r="X1987" s="30"/>
      <c r="Y1987" s="494"/>
      <c r="Z1987" s="30"/>
      <c r="AA1987" s="30"/>
      <c r="AB1987" s="30"/>
      <c r="AC1987" s="30"/>
      <c r="AD1987" s="30"/>
      <c r="AE1987" s="30"/>
      <c r="AF1987" s="58"/>
      <c r="AG1987" s="30"/>
      <c r="AH1987" s="30"/>
      <c r="AI1987" s="30"/>
      <c r="AJ1987" s="504"/>
      <c r="AK1987" s="504"/>
      <c r="AL1987" s="342"/>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hidden="1" customHeight="1" thickBot="1">
      <c r="A1988" s="808"/>
      <c r="B1988" s="166"/>
      <c r="C1988" s="166"/>
      <c r="D1988" s="166"/>
      <c r="E1988" s="166"/>
      <c r="F1988" s="506" t="str">
        <f>Translations!$B$333</f>
        <v>Pakopa</v>
      </c>
      <c r="G1988" s="1557" t="str">
        <f>Translations!$B$672</f>
        <v>pakopos aprašas</v>
      </c>
      <c r="H1988" s="1557"/>
      <c r="I1988" s="1555" t="str">
        <f>Translations!$B$158</f>
        <v>Vienetas</v>
      </c>
      <c r="J1988" s="1555"/>
      <c r="K1988" s="1555" t="str">
        <f>Translations!$B$673</f>
        <v>Vertė</v>
      </c>
      <c r="L1988" s="1555"/>
      <c r="M1988" s="507" t="str">
        <f>Translations!$B$610</f>
        <v>klaida</v>
      </c>
      <c r="O1988" s="733"/>
      <c r="P1988" s="508"/>
      <c r="Q1988" s="352" t="str">
        <f>EUconst_SumEnergyIN &amp; "_" &amp; K1979</f>
        <v>SUM_EnergyIN_</v>
      </c>
      <c r="R1988" s="399" t="str">
        <f>IF(OR(K1979="",T1980)=TRUE,"",INDEX(BC1994:BE1994,MATCH(K1979,BC1989:BE1989,0)))</f>
        <v/>
      </c>
      <c r="S1988" s="30"/>
      <c r="T1988" s="489"/>
      <c r="U1988" s="30"/>
      <c r="V1988" s="509" t="s">
        <v>303</v>
      </c>
      <c r="W1988" s="30"/>
      <c r="X1988" s="30"/>
      <c r="Y1988" s="494" t="s">
        <v>566</v>
      </c>
      <c r="Z1988" s="494" t="s">
        <v>318</v>
      </c>
      <c r="AA1988" s="30"/>
      <c r="AB1988" s="30"/>
      <c r="AC1988" s="505" t="s">
        <v>309</v>
      </c>
      <c r="AD1988" s="30"/>
      <c r="AE1988" s="30"/>
      <c r="AF1988" s="492" t="s">
        <v>305</v>
      </c>
      <c r="AG1988" s="492" t="s">
        <v>306</v>
      </c>
      <c r="AH1988" s="494" t="s">
        <v>304</v>
      </c>
      <c r="AI1988" s="504" t="s">
        <v>307</v>
      </c>
      <c r="AJ1988" s="504" t="s">
        <v>567</v>
      </c>
      <c r="AK1988" s="510" t="s">
        <v>311</v>
      </c>
      <c r="AL1988" s="342"/>
      <c r="AM1988" s="30"/>
      <c r="AN1988" s="492" t="s">
        <v>305</v>
      </c>
      <c r="AO1988" s="492" t="s">
        <v>306</v>
      </c>
      <c r="AP1988" s="511" t="s">
        <v>310</v>
      </c>
      <c r="AQ1988" s="504" t="s">
        <v>569</v>
      </c>
      <c r="AR1988" s="504" t="s">
        <v>568</v>
      </c>
      <c r="AS1988" s="510" t="s">
        <v>609</v>
      </c>
      <c r="AT1988" s="510" t="s">
        <v>609</v>
      </c>
      <c r="AU1988" s="30"/>
      <c r="AV1988" s="492"/>
      <c r="AW1988" s="492"/>
      <c r="AX1988" s="492" t="s">
        <v>321</v>
      </c>
      <c r="AY1988" s="492"/>
      <c r="AZ1988" s="492"/>
      <c r="BA1988" s="492"/>
      <c r="BB1988" s="492"/>
      <c r="BC1988" s="492"/>
      <c r="BD1988" s="492"/>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3" t="s">
        <v>262</v>
      </c>
    </row>
    <row r="1989" spans="1:78" s="142" customFormat="1" ht="12.75" hidden="1" customHeight="1" thickBot="1">
      <c r="A1989" s="808"/>
      <c r="B1989" s="166"/>
      <c r="C1989" s="777" t="s">
        <v>196</v>
      </c>
      <c r="D1989" s="512" t="str">
        <f>Translations!$B$622</f>
        <v>VD:</v>
      </c>
      <c r="E1989" s="513"/>
      <c r="F1989" s="402"/>
      <c r="G1989" s="1532" t="str">
        <f>IF(OR(ISBLANK(F1989),F1989=EUconst_NoTier),"",IF(Z1989=0,EUconst_NA,IF(ISERROR(Z1989),"",Z1989)))</f>
        <v/>
      </c>
      <c r="H1989" s="1533"/>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0"/>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0"/>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0"/>
      <c r="AV1989" s="492" t="s">
        <v>314</v>
      </c>
      <c r="AW1989" s="492" t="s">
        <v>319</v>
      </c>
      <c r="AX1989" s="524"/>
      <c r="AY1989" s="30" t="s">
        <v>542</v>
      </c>
      <c r="AZ1989" s="30"/>
      <c r="BA1989" s="30"/>
      <c r="BB1989" s="504"/>
      <c r="BC1989" s="493" t="str">
        <f>EUconst_Fuel</f>
        <v>Degimas</v>
      </c>
      <c r="BD1989" s="493" t="str">
        <f>EUconst_ProcessCarbonate</f>
        <v>Proceso metu išsiskiriančios ŠESD</v>
      </c>
      <c r="BE1989" s="493"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4" t="b">
        <f>BZ1984</f>
        <v>1</v>
      </c>
    </row>
    <row r="1990" spans="1:78" s="142" customFormat="1" ht="5.0999999999999996" hidden="1" customHeight="1" thickBot="1">
      <c r="A1990" s="808"/>
      <c r="B1990" s="166"/>
      <c r="C1990" s="814"/>
      <c r="D1990" s="306"/>
      <c r="F1990" s="143"/>
      <c r="G1990" s="143"/>
      <c r="H1990" s="143" t="s">
        <v>236</v>
      </c>
      <c r="I1990" s="525"/>
      <c r="J1990" s="525"/>
      <c r="K1990" s="143"/>
      <c r="L1990" s="143"/>
      <c r="M1990" s="710"/>
      <c r="O1990" s="733"/>
      <c r="P1990" s="33"/>
      <c r="Q1990" s="33"/>
      <c r="R1990" s="33"/>
      <c r="S1990" s="30"/>
      <c r="T1990" s="155"/>
      <c r="U1990" s="497"/>
      <c r="V1990" s="30"/>
      <c r="W1990" s="30"/>
      <c r="X1990" s="497"/>
      <c r="Y1990" s="526"/>
      <c r="Z1990" s="30"/>
      <c r="AA1990" s="30"/>
      <c r="AB1990" s="30"/>
      <c r="AC1990" s="30"/>
      <c r="AD1990" s="30"/>
      <c r="AE1990" s="30"/>
      <c r="AF1990" s="30"/>
      <c r="AG1990" s="30"/>
      <c r="AH1990" s="30"/>
      <c r="AI1990" s="30"/>
      <c r="AJ1990" s="30"/>
      <c r="AK1990" s="30"/>
      <c r="AL1990" s="342"/>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3"/>
    </row>
    <row r="1991" spans="1:78" s="142" customFormat="1" ht="12.75" hidden="1" customHeight="1" thickBot="1">
      <c r="A1991" s="808"/>
      <c r="B1991" s="166"/>
      <c r="C1991" s="814" t="s">
        <v>197</v>
      </c>
      <c r="D1991" s="512" t="str">
        <f>Translations!$B$634</f>
        <v>(prelim.) ITF:</v>
      </c>
      <c r="E1991" s="513"/>
      <c r="F1991" s="527"/>
      <c r="G1991" s="1532" t="str">
        <f t="shared" ref="G1991:G1997" si="497">IF(OR(ISBLANK(F1991),F1991=EUconst_NoTier),"",IF(Z1991=0,EUconst_NotApplicable,IF(ISERROR(Z1991),"",Z1991)))</f>
        <v/>
      </c>
      <c r="H1991" s="1556"/>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3"/>
      <c r="Q1991" s="33"/>
      <c r="R1991" s="33"/>
      <c r="S1991" s="30"/>
      <c r="T1991" s="530" t="str">
        <f>EUconst_CNTR_EF&amp;E1980</f>
        <v>EF_</v>
      </c>
      <c r="U1991" s="497"/>
      <c r="V1991" s="531" t="str">
        <f>V1989</f>
        <v/>
      </c>
      <c r="W1991" s="30"/>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0"/>
      <c r="AC1991" s="535" t="b">
        <f>AND(AC1989,Y1991&lt;&gt;EUconst_NA)</f>
        <v>0</v>
      </c>
      <c r="AD1991" s="30"/>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0"/>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0"/>
      <c r="BA1991" s="30"/>
      <c r="BB1991" s="547" t="s">
        <v>594</v>
      </c>
      <c r="BC1991" s="546" t="str">
        <f>IF(K1979=BC1989,AR1989*IF(AJ1991=EUconst_tCO2pTJ,(AR1992/1000),1)*AR1991*AR1993*AR1997,"")</f>
        <v/>
      </c>
      <c r="BD1991" s="524" t="str">
        <f>IF(K1979=BD1989,AR1989*AR1991*AR1994*AR1997,"")</f>
        <v/>
      </c>
      <c r="BE1991" s="523"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1" t="b">
        <f>OR(BZ1989,Y1991=EUconst_NA)</f>
        <v>1</v>
      </c>
    </row>
    <row r="1992" spans="1:78" s="142" customFormat="1" ht="12.75" hidden="1" customHeight="1" thickBot="1">
      <c r="A1992" s="808"/>
      <c r="B1992" s="166"/>
      <c r="C1992" s="814" t="s">
        <v>198</v>
      </c>
      <c r="D1992" s="512" t="str">
        <f>Translations!$B$636</f>
        <v>GŠV:</v>
      </c>
      <c r="E1992" s="513"/>
      <c r="F1992" s="548"/>
      <c r="G1992" s="1532" t="str">
        <f t="shared" si="497"/>
        <v/>
      </c>
      <c r="H1992" s="1533"/>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3"/>
      <c r="Q1992" s="33"/>
      <c r="R1992" s="33"/>
      <c r="S1992" s="30"/>
      <c r="T1992" s="552" t="str">
        <f>EUconst_CNTR_NCV&amp;E1980</f>
        <v>NCV_</v>
      </c>
      <c r="U1992" s="497"/>
      <c r="V1992" s="553" t="str">
        <f t="shared" ref="V1992:V1997" si="503">V1991</f>
        <v/>
      </c>
      <c r="W1992" s="30"/>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0"/>
      <c r="AC1992" s="557" t="b">
        <f>AND(AC1989,Y1992&lt;&gt;EUconst_NA)</f>
        <v>0</v>
      </c>
      <c r="AD1992" s="30"/>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0"/>
      <c r="AV1992" s="567" t="b">
        <f t="shared" si="500"/>
        <v>0</v>
      </c>
      <c r="AW1992" s="568" t="b">
        <f t="shared" si="501"/>
        <v>0</v>
      </c>
      <c r="AX1992" s="30"/>
      <c r="AY1992" s="553" t="b">
        <f t="shared" si="502"/>
        <v>0</v>
      </c>
      <c r="AZ1992" s="30"/>
      <c r="BA1992" s="30"/>
      <c r="BB1992" s="547" t="s">
        <v>595</v>
      </c>
      <c r="BC1992" s="546" t="str">
        <f>IF(K1979=BC1989,AR1989*IF(AJ1991=EUconst_tCO2pTJ,(AR1992/1000),1)*AR1991*AR1993*AR1996,"")</f>
        <v/>
      </c>
      <c r="BD1992" s="524" t="str">
        <f>IF(K1979=BD1989,AR1989*AR1991*AR1994*AR1996,"")</f>
        <v/>
      </c>
      <c r="BE1992" s="523"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3" t="b">
        <f>OR(BZ1989,Y1992=EUconst_NA)</f>
        <v>1</v>
      </c>
    </row>
    <row r="1993" spans="1:78" s="142" customFormat="1" ht="12.75" hidden="1" customHeight="1" thickBot="1">
      <c r="A1993" s="808"/>
      <c r="B1993" s="166"/>
      <c r="C1993" s="814" t="s">
        <v>199</v>
      </c>
      <c r="D1993" s="512" t="str">
        <f>Translations!$B$638</f>
        <v>OksK:</v>
      </c>
      <c r="E1993" s="513"/>
      <c r="F1993" s="548"/>
      <c r="G1993" s="1532" t="str">
        <f t="shared" si="497"/>
        <v/>
      </c>
      <c r="H1993" s="1533"/>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3"/>
      <c r="Q1993" s="33"/>
      <c r="R1993" s="33"/>
      <c r="S1993" s="30"/>
      <c r="T1993" s="552" t="str">
        <f>EUconst_CNTR_OxidationFactor&amp;E1980</f>
        <v>OxF_</v>
      </c>
      <c r="U1993" s="497"/>
      <c r="V1993" s="553" t="str">
        <f t="shared" si="503"/>
        <v/>
      </c>
      <c r="W1993" s="30"/>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0"/>
      <c r="AC1993" s="557" t="b">
        <f>AND(AC1989,Y1993&lt;&gt;EUconst_NA)</f>
        <v>0</v>
      </c>
      <c r="AD1993" s="30"/>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0"/>
      <c r="AV1993" s="567" t="b">
        <f t="shared" si="500"/>
        <v>0</v>
      </c>
      <c r="AW1993" s="568" t="b">
        <f t="shared" si="501"/>
        <v>0</v>
      </c>
      <c r="AX1993" s="30"/>
      <c r="AY1993" s="594" t="b">
        <f t="shared" si="502"/>
        <v>0</v>
      </c>
      <c r="AZ1993" s="531" t="b">
        <f>AR1993&gt;100%</f>
        <v>0</v>
      </c>
      <c r="BA1993" s="30"/>
      <c r="BB1993" s="547" t="s">
        <v>290</v>
      </c>
      <c r="BC1993" s="546" t="str">
        <f>IF(K1979=BC1989,AR1989*IF(AJ1991=EUconst_tCO2pTJ,(AR1992/1000),1)*AR1991*AR1993*(1-AR1996),"")</f>
        <v/>
      </c>
      <c r="BD1993" s="524" t="str">
        <f>IF(K1979=BD1989,AR1989*AR1991*AR1994*(1-AR1996),"")</f>
        <v/>
      </c>
      <c r="BE1993" s="523"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3" t="b">
        <f>OR(BZ1989,Y1993=EUconst_NA)</f>
        <v>1</v>
      </c>
    </row>
    <row r="1994" spans="1:78" s="142" customFormat="1" ht="12.75" hidden="1" customHeight="1" thickBot="1">
      <c r="A1994" s="808"/>
      <c r="B1994" s="166"/>
      <c r="C1994" s="814" t="s">
        <v>200</v>
      </c>
      <c r="D1994" s="512" t="str">
        <f>Translations!$B$639</f>
        <v>KonvK:</v>
      </c>
      <c r="E1994" s="513"/>
      <c r="F1994" s="548"/>
      <c r="G1994" s="1532" t="str">
        <f t="shared" si="497"/>
        <v/>
      </c>
      <c r="H1994" s="1533"/>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3"/>
      <c r="Q1994" s="33"/>
      <c r="R1994" s="33"/>
      <c r="S1994" s="30"/>
      <c r="T1994" s="552" t="str">
        <f>EUconst_CNTR_ConversionFactor&amp;E1980</f>
        <v>ConvF_</v>
      </c>
      <c r="U1994" s="497"/>
      <c r="V1994" s="553" t="str">
        <f t="shared" si="503"/>
        <v/>
      </c>
      <c r="W1994" s="30"/>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0"/>
      <c r="AC1994" s="557" t="b">
        <f>AND(AC1989,Y1994&lt;&gt;EUconst_NA)</f>
        <v>0</v>
      </c>
      <c r="AD1994" s="30"/>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0"/>
      <c r="AV1994" s="567" t="b">
        <f t="shared" si="500"/>
        <v>0</v>
      </c>
      <c r="AW1994" s="568" t="b">
        <f t="shared" si="501"/>
        <v>0</v>
      </c>
      <c r="AX1994" s="30"/>
      <c r="AY1994" s="594" t="b">
        <f t="shared" si="502"/>
        <v>0</v>
      </c>
      <c r="AZ1994" s="580" t="b">
        <f>AR1994&gt;100%</f>
        <v>0</v>
      </c>
      <c r="BA1994" s="30"/>
      <c r="BB1994" s="578" t="s">
        <v>487</v>
      </c>
      <c r="BC1994" s="579">
        <f>AR1989*AR1992/1000*(1-AR1996)</f>
        <v>0</v>
      </c>
      <c r="BD1994" s="580">
        <f>BC1994</f>
        <v>0</v>
      </c>
      <c r="BE1994" s="581">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3" t="b">
        <f>OR(BZ1989,Y1994=EUconst_NA)</f>
        <v>1</v>
      </c>
    </row>
    <row r="1995" spans="1:78" s="142" customFormat="1" ht="12.75" hidden="1" customHeight="1" thickBot="1">
      <c r="A1995" s="808"/>
      <c r="B1995" s="166"/>
      <c r="C1995" s="814" t="s">
        <v>329</v>
      </c>
      <c r="D1995" s="512" t="str">
        <f>Translations!$B$640</f>
        <v>AnglK:</v>
      </c>
      <c r="E1995" s="513"/>
      <c r="F1995" s="548"/>
      <c r="G1995" s="1532" t="str">
        <f t="shared" si="497"/>
        <v/>
      </c>
      <c r="H1995" s="1533"/>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3"/>
      <c r="Q1995" s="33"/>
      <c r="R1995" s="33"/>
      <c r="S1995" s="30"/>
      <c r="T1995" s="552" t="str">
        <f>EUconst_CNTR_CarbonContent&amp;E1980</f>
        <v>CarbC_</v>
      </c>
      <c r="U1995" s="497"/>
      <c r="V1995" s="553" t="str">
        <f t="shared" si="503"/>
        <v/>
      </c>
      <c r="W1995" s="30"/>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0"/>
      <c r="AC1995" s="557" t="b">
        <f>AND(AC1989,Y1995&lt;&gt;EUconst_NA)</f>
        <v>0</v>
      </c>
      <c r="AD1995" s="30"/>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0"/>
      <c r="AV1995" s="567" t="b">
        <f t="shared" si="500"/>
        <v>0</v>
      </c>
      <c r="AW1995" s="568" t="b">
        <f t="shared" si="501"/>
        <v>0</v>
      </c>
      <c r="AX1995" s="546" t="b">
        <f>OR(AND(AJ1989=EUconst_kNm3,AJ1995=EUconst_tCpt),AND(AJ1989=EUconst_t,AJ1995=EUconst_tCpkNm3))</f>
        <v>0</v>
      </c>
      <c r="AY1995" s="553" t="b">
        <f t="shared" si="502"/>
        <v>0</v>
      </c>
      <c r="AZ1995" s="30"/>
      <c r="BA1995" s="30"/>
      <c r="BB1995" s="578" t="s">
        <v>488</v>
      </c>
      <c r="BC1995" s="579">
        <f>AR1989*AR1992/1000*AR1996</f>
        <v>0</v>
      </c>
      <c r="BD1995" s="580">
        <f>BC1995</f>
        <v>0</v>
      </c>
      <c r="BE1995" s="581">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3" t="b">
        <f>OR(BZ1989,Y1995=EUconst_NA)</f>
        <v>1</v>
      </c>
    </row>
    <row r="1996" spans="1:78" s="142" customFormat="1" ht="12.75" hidden="1" customHeight="1" thickBot="1">
      <c r="A1996" s="808"/>
      <c r="B1996" s="166"/>
      <c r="C1996" s="777" t="s">
        <v>330</v>
      </c>
      <c r="D1996" s="512" t="str">
        <f>Translations!$B$641</f>
        <v>BioC:</v>
      </c>
      <c r="E1996" s="513"/>
      <c r="F1996" s="548"/>
      <c r="G1996" s="1532" t="str">
        <f t="shared" si="497"/>
        <v/>
      </c>
      <c r="H1996" s="1533"/>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0"/>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0"/>
      <c r="AC1996" s="557" t="b">
        <f>AND(AC1989,Y1996&lt;&gt;EUconst_NA)</f>
        <v>0</v>
      </c>
      <c r="AD1996" s="30"/>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0"/>
      <c r="AV1996" s="567" t="b">
        <f t="shared" si="500"/>
        <v>0</v>
      </c>
      <c r="AW1996" s="568" t="b">
        <f t="shared" si="501"/>
        <v>0</v>
      </c>
      <c r="AX1996" s="30"/>
      <c r="AY1996" s="594" t="b">
        <f t="shared" si="502"/>
        <v>0</v>
      </c>
      <c r="AZ1996" s="531"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3" t="b">
        <f>OR(BZ1989,Y1996=EUconst_NA)</f>
        <v>1</v>
      </c>
    </row>
    <row r="1997" spans="1:78" s="142" customFormat="1" ht="12.75" hidden="1" customHeight="1" thickBot="1">
      <c r="A1997" s="808"/>
      <c r="B1997" s="166"/>
      <c r="C1997" s="777" t="s">
        <v>454</v>
      </c>
      <c r="D1997" s="512" t="str">
        <f>Translations!$B$647</f>
        <v>Netvar. BioC:</v>
      </c>
      <c r="E1997" s="513"/>
      <c r="F1997" s="597"/>
      <c r="G1997" s="1532" t="str">
        <f t="shared" si="497"/>
        <v/>
      </c>
      <c r="H1997" s="1533"/>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0"/>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0"/>
      <c r="AC1997" s="603" t="b">
        <f>AND(AC1989,Y1997&lt;&gt;EUconst_NA)</f>
        <v>0</v>
      </c>
      <c r="AD1997" s="30"/>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0"/>
      <c r="AV1997" s="613" t="b">
        <f t="shared" si="500"/>
        <v>0</v>
      </c>
      <c r="AW1997" s="614" t="b">
        <f t="shared" si="501"/>
        <v>0</v>
      </c>
      <c r="AX1997" s="30"/>
      <c r="AY1997" s="579" t="b">
        <f t="shared" si="502"/>
        <v>0</v>
      </c>
      <c r="AZ1997" s="580"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80" t="b">
        <f>OR(BZ1989,Y1997=EUconst_NA)</f>
        <v>1</v>
      </c>
    </row>
    <row r="1998" spans="1:78" s="142" customFormat="1" ht="4.5" hidden="1" customHeight="1" thickBot="1">
      <c r="A1998" s="808"/>
      <c r="B1998" s="166"/>
      <c r="C1998" s="166"/>
      <c r="D1998" s="180"/>
      <c r="O1998" s="733"/>
      <c r="P1998" s="33"/>
      <c r="Q1998" s="33"/>
      <c r="R1998" s="33"/>
      <c r="S1998" s="174"/>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hidden="1" customHeight="1" thickBot="1">
      <c r="A1999" s="808"/>
      <c r="B1999" s="166"/>
      <c r="C1999" s="166"/>
      <c r="D1999" s="1558" t="str">
        <f>Translations!$B$674</f>
        <v>Pakopos galioja nuo:</v>
      </c>
      <c r="E1999" s="1558"/>
      <c r="F1999" s="1559"/>
      <c r="G1999" s="1052"/>
      <c r="H1999" s="615" t="str">
        <f>Translations!$B$675</f>
        <v>iki:</v>
      </c>
      <c r="I1999" s="1052"/>
      <c r="J1999" s="1536" t="str">
        <f>Translations!$B$676</f>
        <v>Atliekų katalogo numeris (jeigu taikytina):</v>
      </c>
      <c r="K1999" s="1537"/>
      <c r="L1999" s="1537"/>
      <c r="M1999" s="1538"/>
      <c r="N1999" s="1289"/>
      <c r="O1999" s="733"/>
      <c r="P1999" s="33"/>
      <c r="Q1999" s="33"/>
      <c r="R1999" s="33"/>
      <c r="S1999" s="1290"/>
      <c r="T1999" s="492"/>
      <c r="U1999" s="492"/>
      <c r="V1999" s="48" t="b">
        <f>IF(V1989="",FALSE,INDEX(CNTR_IsWaste,MATCH(V1989,MSParameters!$A$218:$A$376,0)))</f>
        <v>0</v>
      </c>
      <c r="W1999" s="1290"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4.5" hidden="1" customHeight="1" thickBot="1">
      <c r="A2000" s="808"/>
      <c r="B2000" s="166"/>
      <c r="C2000" s="166"/>
      <c r="D2000" s="615"/>
      <c r="E2000" s="495"/>
      <c r="F2000" s="495"/>
      <c r="G2000" s="495"/>
      <c r="H2000" s="495"/>
      <c r="I2000" s="495"/>
      <c r="J2000" s="495"/>
      <c r="K2000" s="495"/>
      <c r="L2000" s="495"/>
      <c r="M2000" s="495"/>
      <c r="N2000" s="495"/>
      <c r="O2000" s="733"/>
      <c r="P2000" s="33"/>
      <c r="Q2000" s="33"/>
      <c r="R2000" s="33"/>
      <c r="S2000" s="174"/>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hidden="1" customHeight="1" thickBot="1">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3"/>
      <c r="Q2001" s="33"/>
      <c r="R2001" s="33"/>
      <c r="S2001" s="174"/>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4.5" hidden="1" customHeight="1" thickBot="1">
      <c r="A2002" s="815"/>
      <c r="D2002" s="180"/>
      <c r="O2002" s="573"/>
      <c r="P2002" s="497"/>
      <c r="Q2002" s="497"/>
      <c r="R2002" s="497"/>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ht="13.5" hidden="1" thickBot="1">
      <c r="A2003" s="815"/>
      <c r="D2003" s="1534" t="str">
        <f>Translations!$B$160</f>
        <v>Pastabos:</v>
      </c>
      <c r="E2003" s="1535"/>
      <c r="F2003" s="1539"/>
      <c r="G2003" s="1540"/>
      <c r="H2003" s="1540"/>
      <c r="I2003" s="1540"/>
      <c r="J2003" s="1540"/>
      <c r="K2003" s="1540"/>
      <c r="L2003" s="1540"/>
      <c r="M2003" s="1540"/>
      <c r="N2003" s="1541"/>
      <c r="O2003" s="573"/>
      <c r="P2003" s="497"/>
      <c r="Q2003" s="497"/>
      <c r="R2003" s="497"/>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c r="A2004" s="808"/>
      <c r="B2004" s="495"/>
      <c r="C2004" s="499"/>
      <c r="D2004" s="500"/>
      <c r="E2004" s="501"/>
      <c r="F2004" s="499"/>
      <c r="G2004" s="502"/>
      <c r="H2004" s="502"/>
      <c r="I2004" s="502"/>
      <c r="J2004" s="502"/>
      <c r="K2004" s="502"/>
      <c r="L2004" s="502"/>
      <c r="M2004" s="502"/>
      <c r="N2004" s="502"/>
      <c r="O2004" s="740"/>
      <c r="P2004" s="494"/>
      <c r="Q2004" s="494"/>
      <c r="R2004" s="494"/>
      <c r="S2004" s="58"/>
      <c r="T2004" s="58"/>
      <c r="U2004" s="498"/>
      <c r="V2004" s="58"/>
      <c r="W2004" s="58"/>
      <c r="X2004" s="498"/>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c r="A2005" s="813"/>
      <c r="B2005" s="495"/>
      <c r="C2005" s="495"/>
      <c r="D2005" s="180"/>
      <c r="E2005" s="496"/>
      <c r="F2005" s="495"/>
      <c r="G2005" s="487"/>
      <c r="H2005" s="487"/>
      <c r="I2005" s="487"/>
      <c r="J2005" s="487"/>
      <c r="K2005" s="495"/>
      <c r="L2005" s="487"/>
      <c r="M2005" s="487"/>
      <c r="N2005" s="487"/>
      <c r="O2005" s="740"/>
      <c r="P2005" s="494"/>
      <c r="Q2005" s="494"/>
      <c r="R2005" s="494"/>
      <c r="S2005" s="23"/>
      <c r="T2005" s="27" t="str">
        <f>IF(ISBLANK(E2006),"",MATCH(E2006,CNTR_SourceStreamNames,0))</f>
        <v/>
      </c>
      <c r="U2005" s="618"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1"/>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3" t="s">
        <v>262</v>
      </c>
    </row>
    <row r="2006" spans="1:78" s="142" customFormat="1" ht="15" hidden="1" customHeight="1" thickBot="1">
      <c r="A2006" s="869" t="str">
        <f>IF(E2006="","","PRINT")</f>
        <v/>
      </c>
      <c r="B2006" s="166"/>
      <c r="C2006" s="617">
        <f>C1979+1</f>
        <v>73</v>
      </c>
      <c r="D2006" s="166"/>
      <c r="E2006" s="1542"/>
      <c r="F2006" s="1543"/>
      <c r="G2006" s="1543"/>
      <c r="H2006" s="1543"/>
      <c r="I2006" s="1543"/>
      <c r="J2006" s="1544"/>
      <c r="K2006" s="1545" t="str">
        <f>IF(E2007="","",INDEX(EUwideConstants!$F$353:$F$394,MATCH(E2007,EUConst_TierActivityListNames,0)))</f>
        <v/>
      </c>
      <c r="L2006" s="1546"/>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3"/>
      <c r="T2006" s="509" t="s">
        <v>393</v>
      </c>
      <c r="U2006" s="23"/>
      <c r="V2006" s="78"/>
      <c r="W2006" s="56"/>
      <c r="X2006" s="58"/>
      <c r="Y2006" s="58"/>
      <c r="Z2006" s="58"/>
      <c r="AA2006" s="58"/>
      <c r="AB2006" s="58"/>
      <c r="AC2006" s="58"/>
      <c r="AD2006" s="58"/>
      <c r="AE2006" s="58"/>
      <c r="AF2006" s="58"/>
      <c r="AG2006" s="58"/>
      <c r="AH2006" s="58"/>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6"/>
      <c r="BZ2006" s="619" t="b">
        <f>CNTR_CalcRelevant=EUconst_NotRelevant</f>
        <v>0</v>
      </c>
    </row>
    <row r="2007" spans="1:78" s="142" customFormat="1" ht="15" hidden="1" customHeight="1" thickBot="1">
      <c r="A2007" s="808"/>
      <c r="B2007" s="166"/>
      <c r="C2007" s="166"/>
      <c r="D2007" s="166"/>
      <c r="E2007" s="1547" t="str">
        <f>IF(ISBLANK(E2006),"",IF(INDEX(B_InstallationDescription!$E$71:$E$145,MATCH(U2005,B_InstallationDescription!$D$71:$D$145,0))&gt;0,INDEX(B_InstallationDescription!$E$71:$E$145,MATCH(U2005,B_InstallationDescription!$D$71:$D$145,0)),""))</f>
        <v/>
      </c>
      <c r="F2007" s="1548"/>
      <c r="G2007" s="1548"/>
      <c r="H2007" s="1548"/>
      <c r="I2007" s="1548"/>
      <c r="J2007" s="1549"/>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4"/>
      <c r="AH2007" s="30"/>
      <c r="AI2007" s="30"/>
      <c r="AJ2007" s="504"/>
      <c r="AK2007" s="504"/>
      <c r="AL2007" s="342"/>
      <c r="AM2007" s="27" t="s">
        <v>308</v>
      </c>
      <c r="AN2007" s="505"/>
      <c r="AO2007" s="505"/>
      <c r="AP2007" s="30"/>
      <c r="AQ2007" s="30"/>
      <c r="AR2007" s="30"/>
      <c r="AS2007" s="30"/>
      <c r="AT2007" s="30"/>
      <c r="AU2007" s="30"/>
      <c r="AV2007" s="27" t="s">
        <v>315</v>
      </c>
      <c r="AW2007" s="30"/>
      <c r="AX2007" s="492"/>
      <c r="AY2007" s="30"/>
      <c r="AZ2007" s="30"/>
      <c r="BA2007" s="30"/>
      <c r="BB2007" s="27" t="s">
        <v>219</v>
      </c>
      <c r="BC2007" s="30"/>
      <c r="BD2007" s="30"/>
      <c r="BE2007" s="30"/>
      <c r="BF2007" s="30"/>
      <c r="BG2007" s="27"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0"/>
      <c r="BZ2007" s="30"/>
    </row>
    <row r="2008" spans="1:78" s="142" customFormat="1" ht="4.5" hidden="1" customHeight="1" thickBot="1">
      <c r="A2008" s="808"/>
      <c r="B2008" s="166"/>
      <c r="C2008" s="166"/>
      <c r="D2008" s="166"/>
      <c r="E2008" s="166"/>
      <c r="F2008" s="166"/>
      <c r="G2008" s="166"/>
      <c r="M2008" s="143"/>
      <c r="N2008" s="143"/>
      <c r="O2008" s="733"/>
      <c r="P2008" s="33"/>
      <c r="Q2008" s="33"/>
      <c r="R2008" s="33"/>
      <c r="S2008" s="23"/>
      <c r="T2008" s="23"/>
      <c r="U2008" s="23"/>
      <c r="V2008" s="78"/>
      <c r="W2008" s="30"/>
      <c r="X2008" s="30"/>
      <c r="Y2008" s="494"/>
      <c r="Z2008" s="30"/>
      <c r="AA2008" s="30"/>
      <c r="AB2008" s="30"/>
      <c r="AC2008" s="30"/>
      <c r="AD2008" s="30"/>
      <c r="AE2008" s="30"/>
      <c r="AF2008" s="58"/>
      <c r="AG2008" s="30"/>
      <c r="AH2008" s="30"/>
      <c r="AI2008" s="30"/>
      <c r="AJ2008" s="504"/>
      <c r="AK2008" s="504"/>
      <c r="AL2008" s="342"/>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hidden="1" customHeight="1" thickBot="1">
      <c r="A2009" s="808"/>
      <c r="B2009" s="166"/>
      <c r="C2009" s="166"/>
      <c r="D2009" s="166"/>
      <c r="E2009" s="1550" t="str">
        <f>IF(E2006="","",IF(T2007=TRUE,HYPERLINK("#JUMP_14",EUconst_MsgGoOnPFC),HYPERLINK("#JUMP_E_8",EUconst_FurtherGuidancePoint1)))</f>
        <v/>
      </c>
      <c r="F2009" s="1550"/>
      <c r="G2009" s="1550"/>
      <c r="H2009" s="1550"/>
      <c r="I2009" s="1550"/>
      <c r="J2009" s="1550"/>
      <c r="K2009" s="1550"/>
      <c r="L2009" s="1550"/>
      <c r="M2009" s="1550"/>
      <c r="N2009" s="143"/>
      <c r="O2009" s="733"/>
      <c r="P2009" s="33"/>
      <c r="Q2009" s="352" t="str">
        <f>EUconst_SumNonSustBioCO2 &amp; "_" &amp; K2006</f>
        <v>SUM_bioNonSustCO2_</v>
      </c>
      <c r="R2009" s="707"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4"/>
      <c r="AK2009" s="504"/>
      <c r="AL2009" s="342"/>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hidden="1" customHeight="1" thickBot="1">
      <c r="A2010" s="808"/>
      <c r="B2010" s="166"/>
      <c r="C2010" s="166"/>
      <c r="D2010" s="166"/>
      <c r="E2010" s="166"/>
      <c r="F2010" s="166"/>
      <c r="G2010" s="166"/>
      <c r="M2010" s="143"/>
      <c r="N2010" s="143"/>
      <c r="O2010" s="733"/>
      <c r="P2010" s="23"/>
      <c r="Q2010" s="23"/>
      <c r="R2010" s="23"/>
      <c r="S2010" s="23"/>
      <c r="T2010" s="23"/>
      <c r="U2010" s="23"/>
      <c r="V2010" s="30"/>
      <c r="W2010" s="30"/>
      <c r="X2010" s="30"/>
      <c r="Y2010" s="494"/>
      <c r="Z2010" s="30"/>
      <c r="AA2010" s="30"/>
      <c r="AB2010" s="30"/>
      <c r="AC2010" s="30"/>
      <c r="AD2010" s="30"/>
      <c r="AE2010" s="30"/>
      <c r="AF2010" s="58"/>
      <c r="AG2010" s="30"/>
      <c r="AH2010" s="30"/>
      <c r="AI2010" s="30"/>
      <c r="AJ2010" s="504"/>
      <c r="AK2010" s="504"/>
      <c r="AL2010" s="342"/>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hidden="1" customHeight="1" thickBot="1">
      <c r="A2011" s="808"/>
      <c r="B2011" s="166"/>
      <c r="C2011" s="814" t="s">
        <v>4</v>
      </c>
      <c r="D2011" s="512" t="str">
        <f>Translations!$B$622</f>
        <v>VD:</v>
      </c>
      <c r="E2011" s="1560" t="str">
        <f>Translations!$B$667</f>
        <v>Ar veiklos duomenys gaunami sudedant išmatuotus kiekius (t. y. ne atliekant nuolatinius matavimus)?</v>
      </c>
      <c r="F2011" s="1560"/>
      <c r="G2011" s="1560"/>
      <c r="H2011" s="1560"/>
      <c r="I2011" s="1560"/>
      <c r="J2011" s="1560"/>
      <c r="K2011" s="1560"/>
      <c r="L2011" s="1179"/>
      <c r="M2011" s="507"/>
      <c r="O2011" s="733"/>
      <c r="P2011" s="23"/>
      <c r="Q2011" s="23"/>
      <c r="R2011" s="23"/>
      <c r="S2011" s="23"/>
      <c r="T2011" s="23"/>
      <c r="U2011" s="23"/>
      <c r="V2011" s="30"/>
      <c r="W2011" s="30"/>
      <c r="X2011" s="30"/>
      <c r="Y2011" s="494"/>
      <c r="Z2011" s="30"/>
      <c r="AA2011" s="30"/>
      <c r="AB2011" s="30"/>
      <c r="AC2011" s="1172" t="b">
        <f>AND(E2006&lt;&gt;"",T2007&lt;&gt;TRUE)</f>
        <v>0</v>
      </c>
      <c r="AD2011" s="30"/>
      <c r="AE2011" s="30"/>
      <c r="AF2011" s="58"/>
      <c r="AG2011" s="30"/>
      <c r="AH2011" s="30"/>
      <c r="AI2011" s="30"/>
      <c r="AJ2011" s="504"/>
      <c r="AK2011" s="504"/>
      <c r="AL2011" s="342"/>
      <c r="AM2011" s="30"/>
      <c r="AN2011" s="30"/>
      <c r="AO2011" s="30"/>
      <c r="AP2011" s="30"/>
      <c r="AQ2011" s="30"/>
      <c r="AR2011" s="30"/>
      <c r="AS2011" s="30"/>
      <c r="AT2011" s="1172"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2" t="b">
        <f>OR(CNTR_CalcRelevant=EUconst_NotRelevant,AND(COUNTA(CNTR_ListRelevantSections)&gt;0,OR(T2007=TRUE,E2006="")))</f>
        <v>1</v>
      </c>
    </row>
    <row r="2012" spans="1:78" s="142" customFormat="1" ht="4.5" hidden="1" customHeight="1" thickBot="1">
      <c r="A2012" s="808"/>
      <c r="B2012" s="166"/>
      <c r="C2012" s="166"/>
      <c r="D2012" s="166"/>
      <c r="E2012" s="166"/>
      <c r="F2012" s="166"/>
      <c r="G2012" s="166"/>
      <c r="H2012" s="495"/>
      <c r="I2012" s="495"/>
      <c r="J2012" s="495"/>
      <c r="K2012" s="495"/>
      <c r="L2012" s="495"/>
      <c r="M2012" s="507"/>
      <c r="O2012" s="733"/>
      <c r="P2012" s="23"/>
      <c r="Q2012" s="23"/>
      <c r="R2012" s="23"/>
      <c r="S2012" s="23"/>
      <c r="T2012" s="23"/>
      <c r="U2012" s="23"/>
      <c r="V2012" s="30"/>
      <c r="W2012" s="30"/>
      <c r="X2012" s="30"/>
      <c r="Y2012" s="494"/>
      <c r="Z2012" s="30"/>
      <c r="AA2012" s="30"/>
      <c r="AB2012" s="30"/>
      <c r="AC2012" s="492"/>
      <c r="AD2012" s="30"/>
      <c r="AE2012" s="30"/>
      <c r="AF2012" s="58"/>
      <c r="AG2012" s="30"/>
      <c r="AH2012" s="30"/>
      <c r="AI2012" s="30"/>
      <c r="AJ2012" s="504"/>
      <c r="AK2012" s="504"/>
      <c r="AL2012" s="342"/>
      <c r="AM2012" s="30"/>
      <c r="AN2012" s="30"/>
      <c r="AO2012" s="30"/>
      <c r="AP2012" s="30"/>
      <c r="AQ2012" s="30"/>
      <c r="AR2012" s="30"/>
      <c r="AS2012" s="30"/>
      <c r="AT2012" s="492"/>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2"/>
    </row>
    <row r="2013" spans="1:78" s="142" customFormat="1" ht="12.75" hidden="1" customHeight="1" thickBot="1">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3"/>
      <c r="Q2013" s="23"/>
      <c r="R2013" s="23"/>
      <c r="S2013" s="23"/>
      <c r="T2013" s="23"/>
      <c r="U2013" s="23"/>
      <c r="V2013" s="30"/>
      <c r="W2013" s="30"/>
      <c r="X2013" s="30"/>
      <c r="Y2013" s="494"/>
      <c r="Z2013" s="30"/>
      <c r="AA2013" s="30"/>
      <c r="AB2013" s="30"/>
      <c r="AC2013" s="1172" t="b">
        <f>AC2011</f>
        <v>0</v>
      </c>
      <c r="AD2013" s="30"/>
      <c r="AE2013" s="30"/>
      <c r="AF2013" s="58"/>
      <c r="AG2013" s="30"/>
      <c r="AH2013" s="30"/>
      <c r="AI2013" s="30"/>
      <c r="AJ2013" s="504"/>
      <c r="AK2013" s="504"/>
      <c r="AL2013" s="342"/>
      <c r="AM2013" s="30"/>
      <c r="AN2013" s="30"/>
      <c r="AO2013" s="30"/>
      <c r="AP2013" s="30"/>
      <c r="AQ2013" s="30"/>
      <c r="AR2013" s="30"/>
      <c r="AS2013" s="30"/>
      <c r="AT2013" s="1172"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2" t="b">
        <f>OR(BZ2011,AND(NOT(ISBLANK(L2011)),L2011=FALSE))</f>
        <v>1</v>
      </c>
    </row>
    <row r="2014" spans="1:78" s="142" customFormat="1" ht="5.0999999999999996" hidden="1" customHeight="1" thickBot="1">
      <c r="A2014" s="808"/>
      <c r="B2014" s="166"/>
      <c r="C2014" s="166"/>
      <c r="D2014" s="166"/>
      <c r="E2014" s="166"/>
      <c r="F2014" s="166"/>
      <c r="G2014" s="166"/>
      <c r="M2014" s="143"/>
      <c r="N2014" s="143"/>
      <c r="O2014" s="733"/>
      <c r="P2014" s="23"/>
      <c r="Q2014" s="23"/>
      <c r="R2014" s="23"/>
      <c r="S2014" s="23"/>
      <c r="T2014" s="23"/>
      <c r="U2014" s="23"/>
      <c r="V2014" s="30"/>
      <c r="W2014" s="30"/>
      <c r="X2014" s="30"/>
      <c r="Y2014" s="494"/>
      <c r="Z2014" s="30"/>
      <c r="AA2014" s="30"/>
      <c r="AB2014" s="30"/>
      <c r="AC2014" s="30"/>
      <c r="AD2014" s="30"/>
      <c r="AE2014" s="30"/>
      <c r="AF2014" s="58"/>
      <c r="AG2014" s="30"/>
      <c r="AH2014" s="30"/>
      <c r="AI2014" s="30"/>
      <c r="AJ2014" s="504"/>
      <c r="AK2014" s="504"/>
      <c r="AL2014" s="342"/>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hidden="1" customHeight="1" thickBot="1">
      <c r="A2015" s="808"/>
      <c r="B2015" s="166"/>
      <c r="C2015" s="166"/>
      <c r="D2015" s="166"/>
      <c r="E2015" s="166"/>
      <c r="F2015" s="506" t="str">
        <f>Translations!$B$333</f>
        <v>Pakopa</v>
      </c>
      <c r="G2015" s="1557" t="str">
        <f>Translations!$B$672</f>
        <v>pakopos aprašas</v>
      </c>
      <c r="H2015" s="1557"/>
      <c r="I2015" s="1555" t="str">
        <f>Translations!$B$158</f>
        <v>Vienetas</v>
      </c>
      <c r="J2015" s="1555"/>
      <c r="K2015" s="1555" t="str">
        <f>Translations!$B$673</f>
        <v>Vertė</v>
      </c>
      <c r="L2015" s="1555"/>
      <c r="M2015" s="507" t="str">
        <f>Translations!$B$610</f>
        <v>klaida</v>
      </c>
      <c r="O2015" s="733"/>
      <c r="P2015" s="508"/>
      <c r="Q2015" s="352" t="str">
        <f>EUconst_SumEnergyIN &amp; "_" &amp; K2006</f>
        <v>SUM_EnergyIN_</v>
      </c>
      <c r="R2015" s="399" t="str">
        <f>IF(OR(K2006="",T2007)=TRUE,"",INDEX(BC2021:BE2021,MATCH(K2006,BC2016:BE2016,0)))</f>
        <v/>
      </c>
      <c r="S2015" s="30"/>
      <c r="T2015" s="489"/>
      <c r="U2015" s="30"/>
      <c r="V2015" s="509" t="s">
        <v>303</v>
      </c>
      <c r="W2015" s="30"/>
      <c r="X2015" s="30"/>
      <c r="Y2015" s="494" t="s">
        <v>566</v>
      </c>
      <c r="Z2015" s="494" t="s">
        <v>318</v>
      </c>
      <c r="AA2015" s="30"/>
      <c r="AB2015" s="30"/>
      <c r="AC2015" s="505" t="s">
        <v>309</v>
      </c>
      <c r="AD2015" s="30"/>
      <c r="AE2015" s="30"/>
      <c r="AF2015" s="492" t="s">
        <v>305</v>
      </c>
      <c r="AG2015" s="492" t="s">
        <v>306</v>
      </c>
      <c r="AH2015" s="494" t="s">
        <v>304</v>
      </c>
      <c r="AI2015" s="504" t="s">
        <v>307</v>
      </c>
      <c r="AJ2015" s="504" t="s">
        <v>567</v>
      </c>
      <c r="AK2015" s="510" t="s">
        <v>311</v>
      </c>
      <c r="AL2015" s="342"/>
      <c r="AM2015" s="30"/>
      <c r="AN2015" s="492" t="s">
        <v>305</v>
      </c>
      <c r="AO2015" s="492" t="s">
        <v>306</v>
      </c>
      <c r="AP2015" s="511" t="s">
        <v>310</v>
      </c>
      <c r="AQ2015" s="504" t="s">
        <v>569</v>
      </c>
      <c r="AR2015" s="504" t="s">
        <v>568</v>
      </c>
      <c r="AS2015" s="510" t="s">
        <v>609</v>
      </c>
      <c r="AT2015" s="510" t="s">
        <v>609</v>
      </c>
      <c r="AU2015" s="30"/>
      <c r="AV2015" s="492"/>
      <c r="AW2015" s="492"/>
      <c r="AX2015" s="492" t="s">
        <v>321</v>
      </c>
      <c r="AY2015" s="492"/>
      <c r="AZ2015" s="492"/>
      <c r="BA2015" s="492"/>
      <c r="BB2015" s="492"/>
      <c r="BC2015" s="492"/>
      <c r="BD2015" s="492"/>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3" t="s">
        <v>262</v>
      </c>
    </row>
    <row r="2016" spans="1:78" s="142" customFormat="1" ht="12.75" hidden="1" customHeight="1" thickBot="1">
      <c r="A2016" s="808"/>
      <c r="B2016" s="166"/>
      <c r="C2016" s="777" t="s">
        <v>196</v>
      </c>
      <c r="D2016" s="512" t="str">
        <f>Translations!$B$622</f>
        <v>VD:</v>
      </c>
      <c r="E2016" s="513"/>
      <c r="F2016" s="402"/>
      <c r="G2016" s="1532" t="str">
        <f>IF(OR(ISBLANK(F2016),F2016=EUconst_NoTier),"",IF(Z2016=0,EUconst_NA,IF(ISERROR(Z2016),"",Z2016)))</f>
        <v/>
      </c>
      <c r="H2016" s="1533"/>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0"/>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0"/>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0"/>
      <c r="AV2016" s="492" t="s">
        <v>314</v>
      </c>
      <c r="AW2016" s="492" t="s">
        <v>319</v>
      </c>
      <c r="AX2016" s="524"/>
      <c r="AY2016" s="30" t="s">
        <v>542</v>
      </c>
      <c r="AZ2016" s="30"/>
      <c r="BA2016" s="30"/>
      <c r="BB2016" s="504"/>
      <c r="BC2016" s="493" t="str">
        <f>EUconst_Fuel</f>
        <v>Degimas</v>
      </c>
      <c r="BD2016" s="493" t="str">
        <f>EUconst_ProcessCarbonate</f>
        <v>Proceso metu išsiskiriančios ŠESD</v>
      </c>
      <c r="BE2016" s="493"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4" t="b">
        <f>BZ2011</f>
        <v>1</v>
      </c>
    </row>
    <row r="2017" spans="1:78" s="142" customFormat="1" ht="5.0999999999999996" hidden="1" customHeight="1" thickBot="1">
      <c r="A2017" s="808"/>
      <c r="B2017" s="166"/>
      <c r="C2017" s="814"/>
      <c r="D2017" s="306"/>
      <c r="F2017" s="143"/>
      <c r="G2017" s="143"/>
      <c r="H2017" s="143" t="s">
        <v>236</v>
      </c>
      <c r="I2017" s="525"/>
      <c r="J2017" s="525"/>
      <c r="K2017" s="143"/>
      <c r="L2017" s="143"/>
      <c r="M2017" s="710"/>
      <c r="O2017" s="733"/>
      <c r="P2017" s="33"/>
      <c r="Q2017" s="33"/>
      <c r="R2017" s="33"/>
      <c r="S2017" s="30"/>
      <c r="T2017" s="155"/>
      <c r="U2017" s="497"/>
      <c r="V2017" s="30"/>
      <c r="W2017" s="30"/>
      <c r="X2017" s="497"/>
      <c r="Y2017" s="526"/>
      <c r="Z2017" s="30"/>
      <c r="AA2017" s="30"/>
      <c r="AB2017" s="30"/>
      <c r="AC2017" s="30"/>
      <c r="AD2017" s="30"/>
      <c r="AE2017" s="30"/>
      <c r="AF2017" s="30"/>
      <c r="AG2017" s="30"/>
      <c r="AH2017" s="30"/>
      <c r="AI2017" s="30"/>
      <c r="AJ2017" s="30"/>
      <c r="AK2017" s="30"/>
      <c r="AL2017" s="342"/>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3"/>
    </row>
    <row r="2018" spans="1:78" s="142" customFormat="1" ht="12.75" hidden="1" customHeight="1" thickBot="1">
      <c r="A2018" s="808"/>
      <c r="B2018" s="166"/>
      <c r="C2018" s="814" t="s">
        <v>197</v>
      </c>
      <c r="D2018" s="512" t="str">
        <f>Translations!$B$634</f>
        <v>(prelim.) ITF:</v>
      </c>
      <c r="E2018" s="513"/>
      <c r="F2018" s="527"/>
      <c r="G2018" s="1532" t="str">
        <f t="shared" ref="G2018:G2024" si="504">IF(OR(ISBLANK(F2018),F2018=EUconst_NoTier),"",IF(Z2018=0,EUconst_NotApplicable,IF(ISERROR(Z2018),"",Z2018)))</f>
        <v/>
      </c>
      <c r="H2018" s="1556"/>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3"/>
      <c r="Q2018" s="33"/>
      <c r="R2018" s="33"/>
      <c r="S2018" s="30"/>
      <c r="T2018" s="530" t="str">
        <f>EUconst_CNTR_EF&amp;E2007</f>
        <v>EF_</v>
      </c>
      <c r="U2018" s="497"/>
      <c r="V2018" s="531" t="str">
        <f>V2016</f>
        <v/>
      </c>
      <c r="W2018" s="30"/>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0"/>
      <c r="AC2018" s="535" t="b">
        <f>AND(AC2016,Y2018&lt;&gt;EUconst_NA)</f>
        <v>0</v>
      </c>
      <c r="AD2018" s="30"/>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0"/>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0"/>
      <c r="BA2018" s="30"/>
      <c r="BB2018" s="547" t="s">
        <v>594</v>
      </c>
      <c r="BC2018" s="546" t="str">
        <f>IF(K2006=BC2016,AR2016*IF(AJ2018=EUconst_tCO2pTJ,(AR2019/1000),1)*AR2018*AR2020*AR2024,"")</f>
        <v/>
      </c>
      <c r="BD2018" s="524" t="str">
        <f>IF(K2006=BD2016,AR2016*AR2018*AR2021*AR2024,"")</f>
        <v/>
      </c>
      <c r="BE2018" s="523"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1" t="b">
        <f>OR(BZ2016,Y2018=EUconst_NA)</f>
        <v>1</v>
      </c>
    </row>
    <row r="2019" spans="1:78" s="142" customFormat="1" ht="12.75" hidden="1" customHeight="1" thickBot="1">
      <c r="A2019" s="808"/>
      <c r="B2019" s="166"/>
      <c r="C2019" s="814" t="s">
        <v>198</v>
      </c>
      <c r="D2019" s="512" t="str">
        <f>Translations!$B$636</f>
        <v>GŠV:</v>
      </c>
      <c r="E2019" s="513"/>
      <c r="F2019" s="548"/>
      <c r="G2019" s="1532" t="str">
        <f t="shared" si="504"/>
        <v/>
      </c>
      <c r="H2019" s="1533"/>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3"/>
      <c r="Q2019" s="33"/>
      <c r="R2019" s="33"/>
      <c r="S2019" s="30"/>
      <c r="T2019" s="552" t="str">
        <f>EUconst_CNTR_NCV&amp;E2007</f>
        <v>NCV_</v>
      </c>
      <c r="U2019" s="497"/>
      <c r="V2019" s="553" t="str">
        <f t="shared" ref="V2019:V2024" si="510">V2018</f>
        <v/>
      </c>
      <c r="W2019" s="30"/>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0"/>
      <c r="AC2019" s="557" t="b">
        <f>AND(AC2016,Y2019&lt;&gt;EUconst_NA)</f>
        <v>0</v>
      </c>
      <c r="AD2019" s="30"/>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0"/>
      <c r="AV2019" s="567" t="b">
        <f t="shared" si="507"/>
        <v>0</v>
      </c>
      <c r="AW2019" s="568" t="b">
        <f t="shared" si="508"/>
        <v>0</v>
      </c>
      <c r="AX2019" s="30"/>
      <c r="AY2019" s="553" t="b">
        <f t="shared" si="509"/>
        <v>0</v>
      </c>
      <c r="AZ2019" s="30"/>
      <c r="BA2019" s="30"/>
      <c r="BB2019" s="547" t="s">
        <v>595</v>
      </c>
      <c r="BC2019" s="546" t="str">
        <f>IF(K2006=BC2016,AR2016*IF(AJ2018=EUconst_tCO2pTJ,(AR2019/1000),1)*AR2018*AR2020*AR2023,"")</f>
        <v/>
      </c>
      <c r="BD2019" s="524" t="str">
        <f>IF(K2006=BD2016,AR2016*AR2018*AR2021*AR2023,"")</f>
        <v/>
      </c>
      <c r="BE2019" s="523"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3" t="b">
        <f>OR(BZ2016,Y2019=EUconst_NA)</f>
        <v>1</v>
      </c>
    </row>
    <row r="2020" spans="1:78" s="142" customFormat="1" ht="12.75" hidden="1" customHeight="1" thickBot="1">
      <c r="A2020" s="808"/>
      <c r="B2020" s="166"/>
      <c r="C2020" s="814" t="s">
        <v>199</v>
      </c>
      <c r="D2020" s="512" t="str">
        <f>Translations!$B$638</f>
        <v>OksK:</v>
      </c>
      <c r="E2020" s="513"/>
      <c r="F2020" s="548"/>
      <c r="G2020" s="1532" t="str">
        <f t="shared" si="504"/>
        <v/>
      </c>
      <c r="H2020" s="1533"/>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3"/>
      <c r="Q2020" s="33"/>
      <c r="R2020" s="33"/>
      <c r="S2020" s="30"/>
      <c r="T2020" s="552" t="str">
        <f>EUconst_CNTR_OxidationFactor&amp;E2007</f>
        <v>OxF_</v>
      </c>
      <c r="U2020" s="497"/>
      <c r="V2020" s="553" t="str">
        <f t="shared" si="510"/>
        <v/>
      </c>
      <c r="W2020" s="30"/>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0"/>
      <c r="AC2020" s="557" t="b">
        <f>AND(AC2016,Y2020&lt;&gt;EUconst_NA)</f>
        <v>0</v>
      </c>
      <c r="AD2020" s="30"/>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0"/>
      <c r="AV2020" s="567" t="b">
        <f t="shared" si="507"/>
        <v>0</v>
      </c>
      <c r="AW2020" s="568" t="b">
        <f t="shared" si="508"/>
        <v>0</v>
      </c>
      <c r="AX2020" s="30"/>
      <c r="AY2020" s="594" t="b">
        <f t="shared" si="509"/>
        <v>0</v>
      </c>
      <c r="AZ2020" s="531" t="b">
        <f>AR2020&gt;100%</f>
        <v>0</v>
      </c>
      <c r="BA2020" s="30"/>
      <c r="BB2020" s="547" t="s">
        <v>290</v>
      </c>
      <c r="BC2020" s="546" t="str">
        <f>IF(K2006=BC2016,AR2016*IF(AJ2018=EUconst_tCO2pTJ,(AR2019/1000),1)*AR2018*AR2020*(1-AR2023),"")</f>
        <v/>
      </c>
      <c r="BD2020" s="524" t="str">
        <f>IF(K2006=BD2016,AR2016*AR2018*AR2021*(1-AR2023),"")</f>
        <v/>
      </c>
      <c r="BE2020" s="523"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3" t="b">
        <f>OR(BZ2016,Y2020=EUconst_NA)</f>
        <v>1</v>
      </c>
    </row>
    <row r="2021" spans="1:78" s="142" customFormat="1" ht="12.75" hidden="1" customHeight="1" thickBot="1">
      <c r="A2021" s="808"/>
      <c r="B2021" s="166"/>
      <c r="C2021" s="814" t="s">
        <v>200</v>
      </c>
      <c r="D2021" s="512" t="str">
        <f>Translations!$B$639</f>
        <v>KonvK:</v>
      </c>
      <c r="E2021" s="513"/>
      <c r="F2021" s="548"/>
      <c r="G2021" s="1532" t="str">
        <f t="shared" si="504"/>
        <v/>
      </c>
      <c r="H2021" s="1533"/>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3"/>
      <c r="Q2021" s="33"/>
      <c r="R2021" s="33"/>
      <c r="S2021" s="30"/>
      <c r="T2021" s="552" t="str">
        <f>EUconst_CNTR_ConversionFactor&amp;E2007</f>
        <v>ConvF_</v>
      </c>
      <c r="U2021" s="497"/>
      <c r="V2021" s="553" t="str">
        <f t="shared" si="510"/>
        <v/>
      </c>
      <c r="W2021" s="30"/>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0"/>
      <c r="AC2021" s="557" t="b">
        <f>AND(AC2016,Y2021&lt;&gt;EUconst_NA)</f>
        <v>0</v>
      </c>
      <c r="AD2021" s="30"/>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0"/>
      <c r="AV2021" s="567" t="b">
        <f t="shared" si="507"/>
        <v>0</v>
      </c>
      <c r="AW2021" s="568" t="b">
        <f t="shared" si="508"/>
        <v>0</v>
      </c>
      <c r="AX2021" s="30"/>
      <c r="AY2021" s="594" t="b">
        <f t="shared" si="509"/>
        <v>0</v>
      </c>
      <c r="AZ2021" s="580" t="b">
        <f>AR2021&gt;100%</f>
        <v>0</v>
      </c>
      <c r="BA2021" s="30"/>
      <c r="BB2021" s="578" t="s">
        <v>487</v>
      </c>
      <c r="BC2021" s="579">
        <f>AR2016*AR2019/1000*(1-AR2023)</f>
        <v>0</v>
      </c>
      <c r="BD2021" s="580">
        <f>BC2021</f>
        <v>0</v>
      </c>
      <c r="BE2021" s="581">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3" t="b">
        <f>OR(BZ2016,Y2021=EUconst_NA)</f>
        <v>1</v>
      </c>
    </row>
    <row r="2022" spans="1:78" s="142" customFormat="1" ht="12.75" hidden="1" customHeight="1" thickBot="1">
      <c r="A2022" s="808"/>
      <c r="B2022" s="166"/>
      <c r="C2022" s="814" t="s">
        <v>329</v>
      </c>
      <c r="D2022" s="512" t="str">
        <f>Translations!$B$640</f>
        <v>AnglK:</v>
      </c>
      <c r="E2022" s="513"/>
      <c r="F2022" s="548"/>
      <c r="G2022" s="1532" t="str">
        <f t="shared" si="504"/>
        <v/>
      </c>
      <c r="H2022" s="1533"/>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3"/>
      <c r="Q2022" s="33"/>
      <c r="R2022" s="33"/>
      <c r="S2022" s="30"/>
      <c r="T2022" s="552" t="str">
        <f>EUconst_CNTR_CarbonContent&amp;E2007</f>
        <v>CarbC_</v>
      </c>
      <c r="U2022" s="497"/>
      <c r="V2022" s="553" t="str">
        <f t="shared" si="510"/>
        <v/>
      </c>
      <c r="W2022" s="30"/>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0"/>
      <c r="AC2022" s="557" t="b">
        <f>AND(AC2016,Y2022&lt;&gt;EUconst_NA)</f>
        <v>0</v>
      </c>
      <c r="AD2022" s="30"/>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0"/>
      <c r="AV2022" s="567" t="b">
        <f t="shared" si="507"/>
        <v>0</v>
      </c>
      <c r="AW2022" s="568" t="b">
        <f t="shared" si="508"/>
        <v>0</v>
      </c>
      <c r="AX2022" s="546" t="b">
        <f>OR(AND(AJ2016=EUconst_kNm3,AJ2022=EUconst_tCpt),AND(AJ2016=EUconst_t,AJ2022=EUconst_tCpkNm3))</f>
        <v>0</v>
      </c>
      <c r="AY2022" s="553" t="b">
        <f t="shared" si="509"/>
        <v>0</v>
      </c>
      <c r="AZ2022" s="30"/>
      <c r="BA2022" s="30"/>
      <c r="BB2022" s="578" t="s">
        <v>488</v>
      </c>
      <c r="BC2022" s="579">
        <f>AR2016*AR2019/1000*AR2023</f>
        <v>0</v>
      </c>
      <c r="BD2022" s="580">
        <f>BC2022</f>
        <v>0</v>
      </c>
      <c r="BE2022" s="581">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3" t="b">
        <f>OR(BZ2016,Y2022=EUconst_NA)</f>
        <v>1</v>
      </c>
    </row>
    <row r="2023" spans="1:78" s="142" customFormat="1" ht="12.75" hidden="1" customHeight="1" thickBot="1">
      <c r="A2023" s="808"/>
      <c r="B2023" s="166"/>
      <c r="C2023" s="777" t="s">
        <v>330</v>
      </c>
      <c r="D2023" s="512" t="str">
        <f>Translations!$B$641</f>
        <v>BioC:</v>
      </c>
      <c r="E2023" s="513"/>
      <c r="F2023" s="548"/>
      <c r="G2023" s="1532" t="str">
        <f t="shared" si="504"/>
        <v/>
      </c>
      <c r="H2023" s="1533"/>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0"/>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0"/>
      <c r="AC2023" s="557" t="b">
        <f>AND(AC2016,Y2023&lt;&gt;EUconst_NA)</f>
        <v>0</v>
      </c>
      <c r="AD2023" s="30"/>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0"/>
      <c r="AV2023" s="567" t="b">
        <f t="shared" si="507"/>
        <v>0</v>
      </c>
      <c r="AW2023" s="568" t="b">
        <f t="shared" si="508"/>
        <v>0</v>
      </c>
      <c r="AX2023" s="30"/>
      <c r="AY2023" s="594" t="b">
        <f t="shared" si="509"/>
        <v>0</v>
      </c>
      <c r="AZ2023" s="531"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3" t="b">
        <f>OR(BZ2016,Y2023=EUconst_NA)</f>
        <v>1</v>
      </c>
    </row>
    <row r="2024" spans="1:78" s="142" customFormat="1" ht="12.75" hidden="1" customHeight="1" thickBot="1">
      <c r="A2024" s="808"/>
      <c r="B2024" s="166"/>
      <c r="C2024" s="777" t="s">
        <v>454</v>
      </c>
      <c r="D2024" s="512" t="str">
        <f>Translations!$B$647</f>
        <v>Netvar. BioC:</v>
      </c>
      <c r="E2024" s="513"/>
      <c r="F2024" s="597"/>
      <c r="G2024" s="1532" t="str">
        <f t="shared" si="504"/>
        <v/>
      </c>
      <c r="H2024" s="1533"/>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0"/>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0"/>
      <c r="AC2024" s="603" t="b">
        <f>AND(AC2016,Y2024&lt;&gt;EUconst_NA)</f>
        <v>0</v>
      </c>
      <c r="AD2024" s="30"/>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0"/>
      <c r="AV2024" s="613" t="b">
        <f t="shared" si="507"/>
        <v>0</v>
      </c>
      <c r="AW2024" s="614" t="b">
        <f t="shared" si="508"/>
        <v>0</v>
      </c>
      <c r="AX2024" s="30"/>
      <c r="AY2024" s="579" t="b">
        <f t="shared" si="509"/>
        <v>0</v>
      </c>
      <c r="AZ2024" s="580"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80" t="b">
        <f>OR(BZ2016,Y2024=EUconst_NA)</f>
        <v>1</v>
      </c>
    </row>
    <row r="2025" spans="1:78" s="142" customFormat="1" ht="5.0999999999999996" hidden="1" customHeight="1" thickBot="1">
      <c r="A2025" s="808"/>
      <c r="B2025" s="166"/>
      <c r="C2025" s="166"/>
      <c r="D2025" s="180"/>
      <c r="O2025" s="733"/>
      <c r="P2025" s="33"/>
      <c r="Q2025" s="33"/>
      <c r="R2025" s="33"/>
      <c r="S2025" s="174"/>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hidden="1" customHeight="1" thickBot="1">
      <c r="A2026" s="808"/>
      <c r="B2026" s="166"/>
      <c r="C2026" s="166"/>
      <c r="D2026" s="1558" t="str">
        <f>Translations!$B$674</f>
        <v>Pakopos galioja nuo:</v>
      </c>
      <c r="E2026" s="1558"/>
      <c r="F2026" s="1559"/>
      <c r="G2026" s="1052"/>
      <c r="H2026" s="615" t="str">
        <f>Translations!$B$675</f>
        <v>iki:</v>
      </c>
      <c r="I2026" s="1052"/>
      <c r="J2026" s="1536" t="str">
        <f>Translations!$B$676</f>
        <v>Atliekų katalogo numeris (jeigu taikytina):</v>
      </c>
      <c r="K2026" s="1537"/>
      <c r="L2026" s="1537"/>
      <c r="M2026" s="1538"/>
      <c r="N2026" s="1289"/>
      <c r="O2026" s="733"/>
      <c r="P2026" s="33"/>
      <c r="Q2026" s="33"/>
      <c r="R2026" s="33"/>
      <c r="S2026" s="1290"/>
      <c r="T2026" s="492"/>
      <c r="U2026" s="492"/>
      <c r="V2026" s="48" t="b">
        <f>IF(V2016="",FALSE,INDEX(CNTR_IsWaste,MATCH(V2016,MSParameters!$A$218:$A$376,0)))</f>
        <v>0</v>
      </c>
      <c r="W2026" s="1290"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4.5" hidden="1" customHeight="1" thickBot="1">
      <c r="A2027" s="808"/>
      <c r="B2027" s="166"/>
      <c r="C2027" s="166"/>
      <c r="D2027" s="615"/>
      <c r="E2027" s="495"/>
      <c r="F2027" s="495"/>
      <c r="G2027" s="495"/>
      <c r="H2027" s="495"/>
      <c r="I2027" s="495"/>
      <c r="J2027" s="495"/>
      <c r="K2027" s="495"/>
      <c r="L2027" s="495"/>
      <c r="M2027" s="495"/>
      <c r="N2027" s="495"/>
      <c r="O2027" s="733"/>
      <c r="P2027" s="33"/>
      <c r="Q2027" s="33"/>
      <c r="R2027" s="33"/>
      <c r="S2027" s="174"/>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hidden="1" customHeight="1" thickBot="1">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3"/>
      <c r="Q2028" s="33"/>
      <c r="R2028" s="33"/>
      <c r="S2028" s="174"/>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hidden="1" customHeight="1" thickBot="1">
      <c r="A2029" s="815"/>
      <c r="D2029" s="180"/>
      <c r="O2029" s="573"/>
      <c r="P2029" s="497"/>
      <c r="Q2029" s="497"/>
      <c r="R2029" s="497"/>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ht="13.5" hidden="1" thickBot="1">
      <c r="A2030" s="815"/>
      <c r="D2030" s="1534" t="str">
        <f>Translations!$B$160</f>
        <v>Pastabos:</v>
      </c>
      <c r="E2030" s="1535"/>
      <c r="F2030" s="1539"/>
      <c r="G2030" s="1540"/>
      <c r="H2030" s="1540"/>
      <c r="I2030" s="1540"/>
      <c r="J2030" s="1540"/>
      <c r="K2030" s="1540"/>
      <c r="L2030" s="1540"/>
      <c r="M2030" s="1540"/>
      <c r="N2030" s="1541"/>
      <c r="O2030" s="573"/>
      <c r="P2030" s="497"/>
      <c r="Q2030" s="497"/>
      <c r="R2030" s="497"/>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0.5" hidden="1" customHeight="1" thickBot="1">
      <c r="A2031" s="808"/>
      <c r="B2031" s="495"/>
      <c r="C2031" s="499"/>
      <c r="D2031" s="500"/>
      <c r="E2031" s="501"/>
      <c r="F2031" s="499"/>
      <c r="G2031" s="502"/>
      <c r="H2031" s="502"/>
      <c r="I2031" s="502"/>
      <c r="J2031" s="502"/>
      <c r="K2031" s="502"/>
      <c r="L2031" s="502"/>
      <c r="M2031" s="502"/>
      <c r="N2031" s="502"/>
      <c r="O2031" s="740"/>
      <c r="P2031" s="494"/>
      <c r="Q2031" s="494"/>
      <c r="R2031" s="494"/>
      <c r="S2031" s="58"/>
      <c r="T2031" s="58"/>
      <c r="U2031" s="498"/>
      <c r="V2031" s="58"/>
      <c r="W2031" s="58"/>
      <c r="X2031" s="498"/>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c r="A2032" s="813"/>
      <c r="B2032" s="495"/>
      <c r="C2032" s="495"/>
      <c r="D2032" s="180"/>
      <c r="E2032" s="496"/>
      <c r="F2032" s="495"/>
      <c r="G2032" s="487"/>
      <c r="H2032" s="487"/>
      <c r="I2032" s="487"/>
      <c r="J2032" s="487"/>
      <c r="K2032" s="495"/>
      <c r="L2032" s="487"/>
      <c r="M2032" s="487"/>
      <c r="N2032" s="487"/>
      <c r="O2032" s="740"/>
      <c r="P2032" s="494"/>
      <c r="Q2032" s="494"/>
      <c r="R2032" s="494"/>
      <c r="S2032" s="23"/>
      <c r="T2032" s="27" t="str">
        <f>IF(ISBLANK(E2033),"",MATCH(E2033,CNTR_SourceStreamNames,0))</f>
        <v/>
      </c>
      <c r="U2032" s="618"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1"/>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3" t="s">
        <v>262</v>
      </c>
    </row>
    <row r="2033" spans="1:78" s="142" customFormat="1" ht="15" hidden="1" customHeight="1" thickBot="1">
      <c r="A2033" s="869" t="str">
        <f>IF(E2033="","","PRINT")</f>
        <v/>
      </c>
      <c r="B2033" s="166"/>
      <c r="C2033" s="617">
        <f>C2006+1</f>
        <v>74</v>
      </c>
      <c r="D2033" s="166"/>
      <c r="E2033" s="1542"/>
      <c r="F2033" s="1543"/>
      <c r="G2033" s="1543"/>
      <c r="H2033" s="1543"/>
      <c r="I2033" s="1543"/>
      <c r="J2033" s="1544"/>
      <c r="K2033" s="1545" t="str">
        <f>IF(E2034="","",INDEX(EUwideConstants!$F$353:$F$394,MATCH(E2034,EUConst_TierActivityListNames,0)))</f>
        <v/>
      </c>
      <c r="L2033" s="1546"/>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3"/>
      <c r="T2033" s="509" t="s">
        <v>393</v>
      </c>
      <c r="U2033" s="23"/>
      <c r="V2033" s="78"/>
      <c r="W2033" s="56"/>
      <c r="X2033" s="58"/>
      <c r="Y2033" s="58"/>
      <c r="Z2033" s="58"/>
      <c r="AA2033" s="58"/>
      <c r="AB2033" s="58"/>
      <c r="AC2033" s="58"/>
      <c r="AD2033" s="58"/>
      <c r="AE2033" s="58"/>
      <c r="AF2033" s="58"/>
      <c r="AG2033" s="58"/>
      <c r="AH2033" s="58"/>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6"/>
      <c r="BZ2033" s="619" t="b">
        <f>CNTR_CalcRelevant=EUconst_NotRelevant</f>
        <v>0</v>
      </c>
    </row>
    <row r="2034" spans="1:78" s="142" customFormat="1" ht="15" hidden="1" customHeight="1" thickBot="1">
      <c r="A2034" s="808"/>
      <c r="B2034" s="166"/>
      <c r="C2034" s="166"/>
      <c r="D2034" s="166"/>
      <c r="E2034" s="1547" t="str">
        <f>IF(ISBLANK(E2033),"",IF(INDEX(B_InstallationDescription!$E$71:$E$145,MATCH(U2032,B_InstallationDescription!$D$71:$D$145,0))&gt;0,INDEX(B_InstallationDescription!$E$71:$E$145,MATCH(U2032,B_InstallationDescription!$D$71:$D$145,0)),""))</f>
        <v/>
      </c>
      <c r="F2034" s="1548"/>
      <c r="G2034" s="1548"/>
      <c r="H2034" s="1548"/>
      <c r="I2034" s="1548"/>
      <c r="J2034" s="1549"/>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4"/>
      <c r="AH2034" s="30"/>
      <c r="AI2034" s="30"/>
      <c r="AJ2034" s="504"/>
      <c r="AK2034" s="504"/>
      <c r="AL2034" s="342"/>
      <c r="AM2034" s="27" t="s">
        <v>308</v>
      </c>
      <c r="AN2034" s="505"/>
      <c r="AO2034" s="505"/>
      <c r="AP2034" s="30"/>
      <c r="AQ2034" s="30"/>
      <c r="AR2034" s="30"/>
      <c r="AS2034" s="30"/>
      <c r="AT2034" s="30"/>
      <c r="AU2034" s="30"/>
      <c r="AV2034" s="27" t="s">
        <v>315</v>
      </c>
      <c r="AW2034" s="30"/>
      <c r="AX2034" s="492"/>
      <c r="AY2034" s="30"/>
      <c r="AZ2034" s="30"/>
      <c r="BA2034" s="30"/>
      <c r="BB2034" s="27" t="s">
        <v>219</v>
      </c>
      <c r="BC2034" s="30"/>
      <c r="BD2034" s="30"/>
      <c r="BE2034" s="30"/>
      <c r="BF2034" s="30"/>
      <c r="BG2034" s="27"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0"/>
      <c r="BZ2034" s="30"/>
    </row>
    <row r="2035" spans="1:78" s="142" customFormat="1" ht="4.5" hidden="1" customHeight="1" thickBot="1">
      <c r="A2035" s="808"/>
      <c r="B2035" s="166"/>
      <c r="C2035" s="166"/>
      <c r="D2035" s="166"/>
      <c r="E2035" s="166"/>
      <c r="F2035" s="166"/>
      <c r="G2035" s="166"/>
      <c r="M2035" s="143"/>
      <c r="N2035" s="143"/>
      <c r="O2035" s="733"/>
      <c r="P2035" s="33"/>
      <c r="Q2035" s="33"/>
      <c r="R2035" s="33"/>
      <c r="S2035" s="23"/>
      <c r="T2035" s="23"/>
      <c r="U2035" s="23"/>
      <c r="V2035" s="78"/>
      <c r="W2035" s="30"/>
      <c r="X2035" s="30"/>
      <c r="Y2035" s="494"/>
      <c r="Z2035" s="30"/>
      <c r="AA2035" s="30"/>
      <c r="AB2035" s="30"/>
      <c r="AC2035" s="30"/>
      <c r="AD2035" s="30"/>
      <c r="AE2035" s="30"/>
      <c r="AF2035" s="58"/>
      <c r="AG2035" s="30"/>
      <c r="AH2035" s="30"/>
      <c r="AI2035" s="30"/>
      <c r="AJ2035" s="504"/>
      <c r="AK2035" s="504"/>
      <c r="AL2035" s="342"/>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hidden="1" customHeight="1" thickBot="1">
      <c r="A2036" s="808"/>
      <c r="B2036" s="166"/>
      <c r="C2036" s="166"/>
      <c r="D2036" s="166"/>
      <c r="E2036" s="1550" t="str">
        <f>IF(E2033="","",IF(T2034=TRUE,HYPERLINK("#JUMP_14",EUconst_MsgGoOnPFC),HYPERLINK("#JUMP_E_8",EUconst_FurtherGuidancePoint1)))</f>
        <v/>
      </c>
      <c r="F2036" s="1550"/>
      <c r="G2036" s="1550"/>
      <c r="H2036" s="1550"/>
      <c r="I2036" s="1550"/>
      <c r="J2036" s="1550"/>
      <c r="K2036" s="1550"/>
      <c r="L2036" s="1550"/>
      <c r="M2036" s="1550"/>
      <c r="N2036" s="143"/>
      <c r="O2036" s="733"/>
      <c r="P2036" s="33"/>
      <c r="Q2036" s="352" t="str">
        <f>EUconst_SumNonSustBioCO2 &amp; "_" &amp; K2033</f>
        <v>SUM_bioNonSustCO2_</v>
      </c>
      <c r="R2036" s="707"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4"/>
      <c r="AK2036" s="504"/>
      <c r="AL2036" s="342"/>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4.5" hidden="1" customHeight="1" thickBot="1">
      <c r="A2037" s="808"/>
      <c r="B2037" s="166"/>
      <c r="C2037" s="166"/>
      <c r="D2037" s="166"/>
      <c r="E2037" s="166"/>
      <c r="F2037" s="166"/>
      <c r="G2037" s="166"/>
      <c r="M2037" s="143"/>
      <c r="N2037" s="143"/>
      <c r="O2037" s="733"/>
      <c r="P2037" s="23"/>
      <c r="Q2037" s="23"/>
      <c r="R2037" s="23"/>
      <c r="S2037" s="23"/>
      <c r="T2037" s="23"/>
      <c r="U2037" s="23"/>
      <c r="V2037" s="30"/>
      <c r="W2037" s="30"/>
      <c r="X2037" s="30"/>
      <c r="Y2037" s="494"/>
      <c r="Z2037" s="30"/>
      <c r="AA2037" s="30"/>
      <c r="AB2037" s="30"/>
      <c r="AC2037" s="30"/>
      <c r="AD2037" s="30"/>
      <c r="AE2037" s="30"/>
      <c r="AF2037" s="58"/>
      <c r="AG2037" s="30"/>
      <c r="AH2037" s="30"/>
      <c r="AI2037" s="30"/>
      <c r="AJ2037" s="504"/>
      <c r="AK2037" s="504"/>
      <c r="AL2037" s="342"/>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hidden="1" customHeight="1" thickBot="1">
      <c r="A2038" s="808"/>
      <c r="B2038" s="166"/>
      <c r="C2038" s="814" t="s">
        <v>4</v>
      </c>
      <c r="D2038" s="512" t="str">
        <f>Translations!$B$622</f>
        <v>VD:</v>
      </c>
      <c r="E2038" s="1560" t="str">
        <f>Translations!$B$667</f>
        <v>Ar veiklos duomenys gaunami sudedant išmatuotus kiekius (t. y. ne atliekant nuolatinius matavimus)?</v>
      </c>
      <c r="F2038" s="1560"/>
      <c r="G2038" s="1560"/>
      <c r="H2038" s="1560"/>
      <c r="I2038" s="1560"/>
      <c r="J2038" s="1560"/>
      <c r="K2038" s="1560"/>
      <c r="L2038" s="1179"/>
      <c r="M2038" s="507"/>
      <c r="O2038" s="733"/>
      <c r="P2038" s="23"/>
      <c r="Q2038" s="23"/>
      <c r="R2038" s="23"/>
      <c r="S2038" s="23"/>
      <c r="T2038" s="23"/>
      <c r="U2038" s="23"/>
      <c r="V2038" s="30"/>
      <c r="W2038" s="30"/>
      <c r="X2038" s="30"/>
      <c r="Y2038" s="494"/>
      <c r="Z2038" s="30"/>
      <c r="AA2038" s="30"/>
      <c r="AB2038" s="30"/>
      <c r="AC2038" s="1172" t="b">
        <f>AND(E2033&lt;&gt;"",T2034&lt;&gt;TRUE)</f>
        <v>0</v>
      </c>
      <c r="AD2038" s="30"/>
      <c r="AE2038" s="30"/>
      <c r="AF2038" s="58"/>
      <c r="AG2038" s="30"/>
      <c r="AH2038" s="30"/>
      <c r="AI2038" s="30"/>
      <c r="AJ2038" s="504"/>
      <c r="AK2038" s="504"/>
      <c r="AL2038" s="342"/>
      <c r="AM2038" s="30"/>
      <c r="AN2038" s="30"/>
      <c r="AO2038" s="30"/>
      <c r="AP2038" s="30"/>
      <c r="AQ2038" s="30"/>
      <c r="AR2038" s="30"/>
      <c r="AS2038" s="30"/>
      <c r="AT2038" s="1172"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2" t="b">
        <f>OR(CNTR_CalcRelevant=EUconst_NotRelevant,AND(COUNTA(CNTR_ListRelevantSections)&gt;0,OR(T2034=TRUE,E2033="")))</f>
        <v>1</v>
      </c>
    </row>
    <row r="2039" spans="1:78" s="142" customFormat="1" ht="5.0999999999999996" hidden="1" customHeight="1" thickBot="1">
      <c r="A2039" s="808"/>
      <c r="B2039" s="166"/>
      <c r="C2039" s="166"/>
      <c r="D2039" s="166"/>
      <c r="E2039" s="166"/>
      <c r="F2039" s="166"/>
      <c r="G2039" s="166"/>
      <c r="H2039" s="495"/>
      <c r="I2039" s="495"/>
      <c r="J2039" s="495"/>
      <c r="K2039" s="495"/>
      <c r="L2039" s="495"/>
      <c r="M2039" s="507"/>
      <c r="O2039" s="733"/>
      <c r="P2039" s="23"/>
      <c r="Q2039" s="23"/>
      <c r="R2039" s="23"/>
      <c r="S2039" s="23"/>
      <c r="T2039" s="23"/>
      <c r="U2039" s="23"/>
      <c r="V2039" s="30"/>
      <c r="W2039" s="30"/>
      <c r="X2039" s="30"/>
      <c r="Y2039" s="494"/>
      <c r="Z2039" s="30"/>
      <c r="AA2039" s="30"/>
      <c r="AB2039" s="30"/>
      <c r="AC2039" s="492"/>
      <c r="AD2039" s="30"/>
      <c r="AE2039" s="30"/>
      <c r="AF2039" s="58"/>
      <c r="AG2039" s="30"/>
      <c r="AH2039" s="30"/>
      <c r="AI2039" s="30"/>
      <c r="AJ2039" s="504"/>
      <c r="AK2039" s="504"/>
      <c r="AL2039" s="342"/>
      <c r="AM2039" s="30"/>
      <c r="AN2039" s="30"/>
      <c r="AO2039" s="30"/>
      <c r="AP2039" s="30"/>
      <c r="AQ2039" s="30"/>
      <c r="AR2039" s="30"/>
      <c r="AS2039" s="30"/>
      <c r="AT2039" s="492"/>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2"/>
    </row>
    <row r="2040" spans="1:78" s="142" customFormat="1" ht="12.75" hidden="1" customHeight="1" thickBot="1">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3"/>
      <c r="Q2040" s="23"/>
      <c r="R2040" s="23"/>
      <c r="S2040" s="23"/>
      <c r="T2040" s="23"/>
      <c r="U2040" s="23"/>
      <c r="V2040" s="30"/>
      <c r="W2040" s="30"/>
      <c r="X2040" s="30"/>
      <c r="Y2040" s="494"/>
      <c r="Z2040" s="30"/>
      <c r="AA2040" s="30"/>
      <c r="AB2040" s="30"/>
      <c r="AC2040" s="1172" t="b">
        <f>AC2038</f>
        <v>0</v>
      </c>
      <c r="AD2040" s="30"/>
      <c r="AE2040" s="30"/>
      <c r="AF2040" s="58"/>
      <c r="AG2040" s="30"/>
      <c r="AH2040" s="30"/>
      <c r="AI2040" s="30"/>
      <c r="AJ2040" s="504"/>
      <c r="AK2040" s="504"/>
      <c r="AL2040" s="342"/>
      <c r="AM2040" s="30"/>
      <c r="AN2040" s="30"/>
      <c r="AO2040" s="30"/>
      <c r="AP2040" s="30"/>
      <c r="AQ2040" s="30"/>
      <c r="AR2040" s="30"/>
      <c r="AS2040" s="30"/>
      <c r="AT2040" s="1172"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2" t="b">
        <f>OR(BZ2038,AND(NOT(ISBLANK(L2038)),L2038=FALSE))</f>
        <v>1</v>
      </c>
    </row>
    <row r="2041" spans="1:78" s="142" customFormat="1" ht="5.0999999999999996" hidden="1" customHeight="1" thickBot="1">
      <c r="A2041" s="808"/>
      <c r="B2041" s="166"/>
      <c r="C2041" s="166"/>
      <c r="D2041" s="166"/>
      <c r="E2041" s="166"/>
      <c r="F2041" s="166"/>
      <c r="G2041" s="166"/>
      <c r="M2041" s="143"/>
      <c r="N2041" s="143"/>
      <c r="O2041" s="733"/>
      <c r="P2041" s="23"/>
      <c r="Q2041" s="23"/>
      <c r="R2041" s="23"/>
      <c r="S2041" s="23"/>
      <c r="T2041" s="23"/>
      <c r="U2041" s="23"/>
      <c r="V2041" s="30"/>
      <c r="W2041" s="30"/>
      <c r="X2041" s="30"/>
      <c r="Y2041" s="494"/>
      <c r="Z2041" s="30"/>
      <c r="AA2041" s="30"/>
      <c r="AB2041" s="30"/>
      <c r="AC2041" s="30"/>
      <c r="AD2041" s="30"/>
      <c r="AE2041" s="30"/>
      <c r="AF2041" s="58"/>
      <c r="AG2041" s="30"/>
      <c r="AH2041" s="30"/>
      <c r="AI2041" s="30"/>
      <c r="AJ2041" s="504"/>
      <c r="AK2041" s="504"/>
      <c r="AL2041" s="342"/>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hidden="1" customHeight="1" thickBot="1">
      <c r="A2042" s="808"/>
      <c r="B2042" s="166"/>
      <c r="C2042" s="166"/>
      <c r="D2042" s="166"/>
      <c r="E2042" s="166"/>
      <c r="F2042" s="506" t="str">
        <f>Translations!$B$333</f>
        <v>Pakopa</v>
      </c>
      <c r="G2042" s="1557" t="str">
        <f>Translations!$B$672</f>
        <v>pakopos aprašas</v>
      </c>
      <c r="H2042" s="1557"/>
      <c r="I2042" s="1555" t="str">
        <f>Translations!$B$158</f>
        <v>Vienetas</v>
      </c>
      <c r="J2042" s="1555"/>
      <c r="K2042" s="1555" t="str">
        <f>Translations!$B$673</f>
        <v>Vertė</v>
      </c>
      <c r="L2042" s="1555"/>
      <c r="M2042" s="507" t="str">
        <f>Translations!$B$610</f>
        <v>klaida</v>
      </c>
      <c r="O2042" s="733"/>
      <c r="P2042" s="508"/>
      <c r="Q2042" s="352" t="str">
        <f>EUconst_SumEnergyIN &amp; "_" &amp; K2033</f>
        <v>SUM_EnergyIN_</v>
      </c>
      <c r="R2042" s="399" t="str">
        <f>IF(OR(K2033="",T2034)=TRUE,"",INDEX(BC2048:BE2048,MATCH(K2033,BC2043:BE2043,0)))</f>
        <v/>
      </c>
      <c r="S2042" s="30"/>
      <c r="T2042" s="489"/>
      <c r="U2042" s="30"/>
      <c r="V2042" s="509" t="s">
        <v>303</v>
      </c>
      <c r="W2042" s="30"/>
      <c r="X2042" s="30"/>
      <c r="Y2042" s="494" t="s">
        <v>566</v>
      </c>
      <c r="Z2042" s="494" t="s">
        <v>318</v>
      </c>
      <c r="AA2042" s="30"/>
      <c r="AB2042" s="30"/>
      <c r="AC2042" s="505" t="s">
        <v>309</v>
      </c>
      <c r="AD2042" s="30"/>
      <c r="AE2042" s="30"/>
      <c r="AF2042" s="492" t="s">
        <v>305</v>
      </c>
      <c r="AG2042" s="492" t="s">
        <v>306</v>
      </c>
      <c r="AH2042" s="494" t="s">
        <v>304</v>
      </c>
      <c r="AI2042" s="504" t="s">
        <v>307</v>
      </c>
      <c r="AJ2042" s="504" t="s">
        <v>567</v>
      </c>
      <c r="AK2042" s="510" t="s">
        <v>311</v>
      </c>
      <c r="AL2042" s="342"/>
      <c r="AM2042" s="30"/>
      <c r="AN2042" s="492" t="s">
        <v>305</v>
      </c>
      <c r="AO2042" s="492" t="s">
        <v>306</v>
      </c>
      <c r="AP2042" s="511" t="s">
        <v>310</v>
      </c>
      <c r="AQ2042" s="504" t="s">
        <v>569</v>
      </c>
      <c r="AR2042" s="504" t="s">
        <v>568</v>
      </c>
      <c r="AS2042" s="510" t="s">
        <v>609</v>
      </c>
      <c r="AT2042" s="510" t="s">
        <v>609</v>
      </c>
      <c r="AU2042" s="30"/>
      <c r="AV2042" s="492"/>
      <c r="AW2042" s="492"/>
      <c r="AX2042" s="492" t="s">
        <v>321</v>
      </c>
      <c r="AY2042" s="492"/>
      <c r="AZ2042" s="492"/>
      <c r="BA2042" s="492"/>
      <c r="BB2042" s="492"/>
      <c r="BC2042" s="492"/>
      <c r="BD2042" s="492"/>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3" t="s">
        <v>262</v>
      </c>
    </row>
    <row r="2043" spans="1:78" s="142" customFormat="1" ht="12.75" hidden="1" customHeight="1" thickBot="1">
      <c r="A2043" s="808"/>
      <c r="B2043" s="166"/>
      <c r="C2043" s="777" t="s">
        <v>196</v>
      </c>
      <c r="D2043" s="512" t="str">
        <f>Translations!$B$622</f>
        <v>VD:</v>
      </c>
      <c r="E2043" s="513"/>
      <c r="F2043" s="402"/>
      <c r="G2043" s="1532" t="str">
        <f>IF(OR(ISBLANK(F2043),F2043=EUconst_NoTier),"",IF(Z2043=0,EUconst_NA,IF(ISERROR(Z2043),"",Z2043)))</f>
        <v/>
      </c>
      <c r="H2043" s="1533"/>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0"/>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0"/>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0"/>
      <c r="AV2043" s="492" t="s">
        <v>314</v>
      </c>
      <c r="AW2043" s="492" t="s">
        <v>319</v>
      </c>
      <c r="AX2043" s="524"/>
      <c r="AY2043" s="30" t="s">
        <v>542</v>
      </c>
      <c r="AZ2043" s="30"/>
      <c r="BA2043" s="30"/>
      <c r="BB2043" s="504"/>
      <c r="BC2043" s="493" t="str">
        <f>EUconst_Fuel</f>
        <v>Degimas</v>
      </c>
      <c r="BD2043" s="493" t="str">
        <f>EUconst_ProcessCarbonate</f>
        <v>Proceso metu išsiskiriančios ŠESD</v>
      </c>
      <c r="BE2043" s="493"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4" t="b">
        <f>BZ2038</f>
        <v>1</v>
      </c>
    </row>
    <row r="2044" spans="1:78" s="142" customFormat="1" ht="4.5" hidden="1" customHeight="1" thickBot="1">
      <c r="A2044" s="808"/>
      <c r="B2044" s="166"/>
      <c r="C2044" s="814"/>
      <c r="D2044" s="306"/>
      <c r="F2044" s="143"/>
      <c r="G2044" s="143"/>
      <c r="H2044" s="143" t="s">
        <v>236</v>
      </c>
      <c r="I2044" s="525"/>
      <c r="J2044" s="525"/>
      <c r="K2044" s="143"/>
      <c r="L2044" s="143"/>
      <c r="M2044" s="710"/>
      <c r="O2044" s="733"/>
      <c r="P2044" s="33"/>
      <c r="Q2044" s="33"/>
      <c r="R2044" s="33"/>
      <c r="S2044" s="30"/>
      <c r="T2044" s="155"/>
      <c r="U2044" s="497"/>
      <c r="V2044" s="30"/>
      <c r="W2044" s="30"/>
      <c r="X2044" s="497"/>
      <c r="Y2044" s="526"/>
      <c r="Z2044" s="30"/>
      <c r="AA2044" s="30"/>
      <c r="AB2044" s="30"/>
      <c r="AC2044" s="30"/>
      <c r="AD2044" s="30"/>
      <c r="AE2044" s="30"/>
      <c r="AF2044" s="30"/>
      <c r="AG2044" s="30"/>
      <c r="AH2044" s="30"/>
      <c r="AI2044" s="30"/>
      <c r="AJ2044" s="30"/>
      <c r="AK2044" s="30"/>
      <c r="AL2044" s="342"/>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3"/>
    </row>
    <row r="2045" spans="1:78" s="142" customFormat="1" ht="12.75" hidden="1" customHeight="1" thickBot="1">
      <c r="A2045" s="808"/>
      <c r="B2045" s="166"/>
      <c r="C2045" s="814" t="s">
        <v>197</v>
      </c>
      <c r="D2045" s="512" t="str">
        <f>Translations!$B$634</f>
        <v>(prelim.) ITF:</v>
      </c>
      <c r="E2045" s="513"/>
      <c r="F2045" s="527"/>
      <c r="G2045" s="1532" t="str">
        <f t="shared" ref="G2045:G2051" si="511">IF(OR(ISBLANK(F2045),F2045=EUconst_NoTier),"",IF(Z2045=0,EUconst_NotApplicable,IF(ISERROR(Z2045),"",Z2045)))</f>
        <v/>
      </c>
      <c r="H2045" s="1556"/>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3"/>
      <c r="Q2045" s="33"/>
      <c r="R2045" s="33"/>
      <c r="S2045" s="30"/>
      <c r="T2045" s="530" t="str">
        <f>EUconst_CNTR_EF&amp;E2034</f>
        <v>EF_</v>
      </c>
      <c r="U2045" s="497"/>
      <c r="V2045" s="531" t="str">
        <f>V2043</f>
        <v/>
      </c>
      <c r="W2045" s="30"/>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0"/>
      <c r="AC2045" s="535" t="b">
        <f>AND(AC2043,Y2045&lt;&gt;EUconst_NA)</f>
        <v>0</v>
      </c>
      <c r="AD2045" s="30"/>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0"/>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0"/>
      <c r="BA2045" s="30"/>
      <c r="BB2045" s="547" t="s">
        <v>594</v>
      </c>
      <c r="BC2045" s="546" t="str">
        <f>IF(K2033=BC2043,AR2043*IF(AJ2045=EUconst_tCO2pTJ,(AR2046/1000),1)*AR2045*AR2047*AR2051,"")</f>
        <v/>
      </c>
      <c r="BD2045" s="524" t="str">
        <f>IF(K2033=BD2043,AR2043*AR2045*AR2048*AR2051,"")</f>
        <v/>
      </c>
      <c r="BE2045" s="523"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1" t="b">
        <f>OR(BZ2043,Y2045=EUconst_NA)</f>
        <v>1</v>
      </c>
    </row>
    <row r="2046" spans="1:78" s="142" customFormat="1" ht="12.75" hidden="1" customHeight="1" thickBot="1">
      <c r="A2046" s="808"/>
      <c r="B2046" s="166"/>
      <c r="C2046" s="814" t="s">
        <v>198</v>
      </c>
      <c r="D2046" s="512" t="str">
        <f>Translations!$B$636</f>
        <v>GŠV:</v>
      </c>
      <c r="E2046" s="513"/>
      <c r="F2046" s="548"/>
      <c r="G2046" s="1532" t="str">
        <f t="shared" si="511"/>
        <v/>
      </c>
      <c r="H2046" s="1533"/>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3"/>
      <c r="Q2046" s="33"/>
      <c r="R2046" s="33"/>
      <c r="S2046" s="30"/>
      <c r="T2046" s="552" t="str">
        <f>EUconst_CNTR_NCV&amp;E2034</f>
        <v>NCV_</v>
      </c>
      <c r="U2046" s="497"/>
      <c r="V2046" s="553" t="str">
        <f t="shared" ref="V2046:V2051" si="517">V2045</f>
        <v/>
      </c>
      <c r="W2046" s="30"/>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0"/>
      <c r="AC2046" s="557" t="b">
        <f>AND(AC2043,Y2046&lt;&gt;EUconst_NA)</f>
        <v>0</v>
      </c>
      <c r="AD2046" s="30"/>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0"/>
      <c r="AV2046" s="567" t="b">
        <f t="shared" si="514"/>
        <v>0</v>
      </c>
      <c r="AW2046" s="568" t="b">
        <f t="shared" si="515"/>
        <v>0</v>
      </c>
      <c r="AX2046" s="30"/>
      <c r="AY2046" s="553" t="b">
        <f t="shared" si="516"/>
        <v>0</v>
      </c>
      <c r="AZ2046" s="30"/>
      <c r="BA2046" s="30"/>
      <c r="BB2046" s="547" t="s">
        <v>595</v>
      </c>
      <c r="BC2046" s="546" t="str">
        <f>IF(K2033=BC2043,AR2043*IF(AJ2045=EUconst_tCO2pTJ,(AR2046/1000),1)*AR2045*AR2047*AR2050,"")</f>
        <v/>
      </c>
      <c r="BD2046" s="524" t="str">
        <f>IF(K2033=BD2043,AR2043*AR2045*AR2048*AR2050,"")</f>
        <v/>
      </c>
      <c r="BE2046" s="523"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3" t="b">
        <f>OR(BZ2043,Y2046=EUconst_NA)</f>
        <v>1</v>
      </c>
    </row>
    <row r="2047" spans="1:78" s="142" customFormat="1" ht="12.75" hidden="1" customHeight="1" thickBot="1">
      <c r="A2047" s="808"/>
      <c r="B2047" s="166"/>
      <c r="C2047" s="814" t="s">
        <v>199</v>
      </c>
      <c r="D2047" s="512" t="str">
        <f>Translations!$B$638</f>
        <v>OksK:</v>
      </c>
      <c r="E2047" s="513"/>
      <c r="F2047" s="548"/>
      <c r="G2047" s="1532" t="str">
        <f t="shared" si="511"/>
        <v/>
      </c>
      <c r="H2047" s="1533"/>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3"/>
      <c r="Q2047" s="33"/>
      <c r="R2047" s="33"/>
      <c r="S2047" s="30"/>
      <c r="T2047" s="552" t="str">
        <f>EUconst_CNTR_OxidationFactor&amp;E2034</f>
        <v>OxF_</v>
      </c>
      <c r="U2047" s="497"/>
      <c r="V2047" s="553" t="str">
        <f t="shared" si="517"/>
        <v/>
      </c>
      <c r="W2047" s="30"/>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0"/>
      <c r="AC2047" s="557" t="b">
        <f>AND(AC2043,Y2047&lt;&gt;EUconst_NA)</f>
        <v>0</v>
      </c>
      <c r="AD2047" s="30"/>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0"/>
      <c r="AV2047" s="567" t="b">
        <f t="shared" si="514"/>
        <v>0</v>
      </c>
      <c r="AW2047" s="568" t="b">
        <f t="shared" si="515"/>
        <v>0</v>
      </c>
      <c r="AX2047" s="30"/>
      <c r="AY2047" s="594" t="b">
        <f t="shared" si="516"/>
        <v>0</v>
      </c>
      <c r="AZ2047" s="531" t="b">
        <f>AR2047&gt;100%</f>
        <v>0</v>
      </c>
      <c r="BA2047" s="30"/>
      <c r="BB2047" s="547" t="s">
        <v>290</v>
      </c>
      <c r="BC2047" s="546" t="str">
        <f>IF(K2033=BC2043,AR2043*IF(AJ2045=EUconst_tCO2pTJ,(AR2046/1000),1)*AR2045*AR2047*(1-AR2050),"")</f>
        <v/>
      </c>
      <c r="BD2047" s="524" t="str">
        <f>IF(K2033=BD2043,AR2043*AR2045*AR2048*(1-AR2050),"")</f>
        <v/>
      </c>
      <c r="BE2047" s="523"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3" t="b">
        <f>OR(BZ2043,Y2047=EUconst_NA)</f>
        <v>1</v>
      </c>
    </row>
    <row r="2048" spans="1:78" s="142" customFormat="1" ht="12.75" hidden="1" customHeight="1" thickBot="1">
      <c r="A2048" s="808"/>
      <c r="B2048" s="166"/>
      <c r="C2048" s="814" t="s">
        <v>200</v>
      </c>
      <c r="D2048" s="512" t="str">
        <f>Translations!$B$639</f>
        <v>KonvK:</v>
      </c>
      <c r="E2048" s="513"/>
      <c r="F2048" s="548"/>
      <c r="G2048" s="1532" t="str">
        <f t="shared" si="511"/>
        <v/>
      </c>
      <c r="H2048" s="1533"/>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3"/>
      <c r="Q2048" s="33"/>
      <c r="R2048" s="33"/>
      <c r="S2048" s="30"/>
      <c r="T2048" s="552" t="str">
        <f>EUconst_CNTR_ConversionFactor&amp;E2034</f>
        <v>ConvF_</v>
      </c>
      <c r="U2048" s="497"/>
      <c r="V2048" s="553" t="str">
        <f t="shared" si="517"/>
        <v/>
      </c>
      <c r="W2048" s="30"/>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0"/>
      <c r="AC2048" s="557" t="b">
        <f>AND(AC2043,Y2048&lt;&gt;EUconst_NA)</f>
        <v>0</v>
      </c>
      <c r="AD2048" s="30"/>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0"/>
      <c r="AV2048" s="567" t="b">
        <f t="shared" si="514"/>
        <v>0</v>
      </c>
      <c r="AW2048" s="568" t="b">
        <f t="shared" si="515"/>
        <v>0</v>
      </c>
      <c r="AX2048" s="30"/>
      <c r="AY2048" s="594" t="b">
        <f t="shared" si="516"/>
        <v>0</v>
      </c>
      <c r="AZ2048" s="580" t="b">
        <f>AR2048&gt;100%</f>
        <v>0</v>
      </c>
      <c r="BA2048" s="30"/>
      <c r="BB2048" s="578" t="s">
        <v>487</v>
      </c>
      <c r="BC2048" s="579">
        <f>AR2043*AR2046/1000*(1-AR2050)</f>
        <v>0</v>
      </c>
      <c r="BD2048" s="580">
        <f>BC2048</f>
        <v>0</v>
      </c>
      <c r="BE2048" s="581">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3" t="b">
        <f>OR(BZ2043,Y2048=EUconst_NA)</f>
        <v>1</v>
      </c>
    </row>
    <row r="2049" spans="1:78" s="142" customFormat="1" ht="12.75" hidden="1" customHeight="1" thickBot="1">
      <c r="A2049" s="808"/>
      <c r="B2049" s="166"/>
      <c r="C2049" s="814" t="s">
        <v>329</v>
      </c>
      <c r="D2049" s="512" t="str">
        <f>Translations!$B$640</f>
        <v>AnglK:</v>
      </c>
      <c r="E2049" s="513"/>
      <c r="F2049" s="548"/>
      <c r="G2049" s="1532" t="str">
        <f t="shared" si="511"/>
        <v/>
      </c>
      <c r="H2049" s="1533"/>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3"/>
      <c r="Q2049" s="33"/>
      <c r="R2049" s="33"/>
      <c r="S2049" s="30"/>
      <c r="T2049" s="552" t="str">
        <f>EUconst_CNTR_CarbonContent&amp;E2034</f>
        <v>CarbC_</v>
      </c>
      <c r="U2049" s="497"/>
      <c r="V2049" s="553" t="str">
        <f t="shared" si="517"/>
        <v/>
      </c>
      <c r="W2049" s="30"/>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0"/>
      <c r="AC2049" s="557" t="b">
        <f>AND(AC2043,Y2049&lt;&gt;EUconst_NA)</f>
        <v>0</v>
      </c>
      <c r="AD2049" s="30"/>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0"/>
      <c r="AV2049" s="567" t="b">
        <f t="shared" si="514"/>
        <v>0</v>
      </c>
      <c r="AW2049" s="568" t="b">
        <f t="shared" si="515"/>
        <v>0</v>
      </c>
      <c r="AX2049" s="546" t="b">
        <f>OR(AND(AJ2043=EUconst_kNm3,AJ2049=EUconst_tCpt),AND(AJ2043=EUconst_t,AJ2049=EUconst_tCpkNm3))</f>
        <v>0</v>
      </c>
      <c r="AY2049" s="553" t="b">
        <f t="shared" si="516"/>
        <v>0</v>
      </c>
      <c r="AZ2049" s="30"/>
      <c r="BA2049" s="30"/>
      <c r="BB2049" s="578" t="s">
        <v>488</v>
      </c>
      <c r="BC2049" s="579">
        <f>AR2043*AR2046/1000*AR2050</f>
        <v>0</v>
      </c>
      <c r="BD2049" s="580">
        <f>BC2049</f>
        <v>0</v>
      </c>
      <c r="BE2049" s="581">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3" t="b">
        <f>OR(BZ2043,Y2049=EUconst_NA)</f>
        <v>1</v>
      </c>
    </row>
    <row r="2050" spans="1:78" s="142" customFormat="1" ht="12.75" hidden="1" customHeight="1" thickBot="1">
      <c r="A2050" s="808"/>
      <c r="B2050" s="166"/>
      <c r="C2050" s="777" t="s">
        <v>330</v>
      </c>
      <c r="D2050" s="512" t="str">
        <f>Translations!$B$641</f>
        <v>BioC:</v>
      </c>
      <c r="E2050" s="513"/>
      <c r="F2050" s="548"/>
      <c r="G2050" s="1532" t="str">
        <f t="shared" si="511"/>
        <v/>
      </c>
      <c r="H2050" s="1533"/>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0"/>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0"/>
      <c r="AC2050" s="557" t="b">
        <f>AND(AC2043,Y2050&lt;&gt;EUconst_NA)</f>
        <v>0</v>
      </c>
      <c r="AD2050" s="30"/>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0"/>
      <c r="AV2050" s="567" t="b">
        <f t="shared" si="514"/>
        <v>0</v>
      </c>
      <c r="AW2050" s="568" t="b">
        <f t="shared" si="515"/>
        <v>0</v>
      </c>
      <c r="AX2050" s="30"/>
      <c r="AY2050" s="594" t="b">
        <f t="shared" si="516"/>
        <v>0</v>
      </c>
      <c r="AZ2050" s="531"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3" t="b">
        <f>OR(BZ2043,Y2050=EUconst_NA)</f>
        <v>1</v>
      </c>
    </row>
    <row r="2051" spans="1:78" s="142" customFormat="1" ht="12.75" hidden="1" customHeight="1" thickBot="1">
      <c r="A2051" s="808"/>
      <c r="B2051" s="166"/>
      <c r="C2051" s="777" t="s">
        <v>454</v>
      </c>
      <c r="D2051" s="512" t="str">
        <f>Translations!$B$647</f>
        <v>Netvar. BioC:</v>
      </c>
      <c r="E2051" s="513"/>
      <c r="F2051" s="597"/>
      <c r="G2051" s="1532" t="str">
        <f t="shared" si="511"/>
        <v/>
      </c>
      <c r="H2051" s="1533"/>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0"/>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0"/>
      <c r="AC2051" s="603" t="b">
        <f>AND(AC2043,Y2051&lt;&gt;EUconst_NA)</f>
        <v>0</v>
      </c>
      <c r="AD2051" s="30"/>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0"/>
      <c r="AV2051" s="613" t="b">
        <f t="shared" si="514"/>
        <v>0</v>
      </c>
      <c r="AW2051" s="614" t="b">
        <f t="shared" si="515"/>
        <v>0</v>
      </c>
      <c r="AX2051" s="30"/>
      <c r="AY2051" s="579" t="b">
        <f t="shared" si="516"/>
        <v>0</v>
      </c>
      <c r="AZ2051" s="580"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80" t="b">
        <f>OR(BZ2043,Y2051=EUconst_NA)</f>
        <v>1</v>
      </c>
    </row>
    <row r="2052" spans="1:78" s="142" customFormat="1" ht="5.0999999999999996" hidden="1" customHeight="1" thickBot="1">
      <c r="A2052" s="808"/>
      <c r="B2052" s="166"/>
      <c r="C2052" s="166"/>
      <c r="D2052" s="180"/>
      <c r="O2052" s="733"/>
      <c r="P2052" s="33"/>
      <c r="Q2052" s="33"/>
      <c r="R2052" s="33"/>
      <c r="S2052" s="174"/>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hidden="1" customHeight="1" thickBot="1">
      <c r="A2053" s="808"/>
      <c r="B2053" s="166"/>
      <c r="C2053" s="166"/>
      <c r="D2053" s="1558" t="str">
        <f>Translations!$B$674</f>
        <v>Pakopos galioja nuo:</v>
      </c>
      <c r="E2053" s="1558"/>
      <c r="F2053" s="1559"/>
      <c r="G2053" s="1052"/>
      <c r="H2053" s="615" t="str">
        <f>Translations!$B$675</f>
        <v>iki:</v>
      </c>
      <c r="I2053" s="1052"/>
      <c r="J2053" s="1536" t="str">
        <f>Translations!$B$676</f>
        <v>Atliekų katalogo numeris (jeigu taikytina):</v>
      </c>
      <c r="K2053" s="1537"/>
      <c r="L2053" s="1537"/>
      <c r="M2053" s="1538"/>
      <c r="N2053" s="1289"/>
      <c r="O2053" s="733"/>
      <c r="P2053" s="33"/>
      <c r="Q2053" s="33"/>
      <c r="R2053" s="33"/>
      <c r="S2053" s="1290"/>
      <c r="T2053" s="492"/>
      <c r="U2053" s="492"/>
      <c r="V2053" s="48" t="b">
        <f>IF(V2043="",FALSE,INDEX(CNTR_IsWaste,MATCH(V2043,MSParameters!$A$218:$A$376,0)))</f>
        <v>0</v>
      </c>
      <c r="W2053" s="1290"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4.5" hidden="1" customHeight="1" thickBot="1">
      <c r="A2054" s="808"/>
      <c r="B2054" s="166"/>
      <c r="C2054" s="166"/>
      <c r="D2054" s="615"/>
      <c r="E2054" s="495"/>
      <c r="F2054" s="495"/>
      <c r="G2054" s="495"/>
      <c r="H2054" s="495"/>
      <c r="I2054" s="495"/>
      <c r="J2054" s="495"/>
      <c r="K2054" s="495"/>
      <c r="L2054" s="495"/>
      <c r="M2054" s="495"/>
      <c r="N2054" s="495"/>
      <c r="O2054" s="733"/>
      <c r="P2054" s="33"/>
      <c r="Q2054" s="33"/>
      <c r="R2054" s="33"/>
      <c r="S2054" s="174"/>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hidden="1" customHeight="1" thickBot="1">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3"/>
      <c r="Q2055" s="33"/>
      <c r="R2055" s="33"/>
      <c r="S2055" s="174"/>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hidden="1" customHeight="1" thickBot="1">
      <c r="A2056" s="815"/>
      <c r="D2056" s="180"/>
      <c r="O2056" s="573"/>
      <c r="P2056" s="497"/>
      <c r="Q2056" s="497"/>
      <c r="R2056" s="497"/>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ht="13.5" hidden="1" thickBot="1">
      <c r="A2057" s="815"/>
      <c r="D2057" s="1534" t="str">
        <f>Translations!$B$160</f>
        <v>Pastabos:</v>
      </c>
      <c r="E2057" s="1535"/>
      <c r="F2057" s="1539"/>
      <c r="G2057" s="1540"/>
      <c r="H2057" s="1540"/>
      <c r="I2057" s="1540"/>
      <c r="J2057" s="1540"/>
      <c r="K2057" s="1540"/>
      <c r="L2057" s="1540"/>
      <c r="M2057" s="1540"/>
      <c r="N2057" s="1541"/>
      <c r="O2057" s="573"/>
      <c r="P2057" s="497"/>
      <c r="Q2057" s="497"/>
      <c r="R2057" s="497"/>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c r="A2058" s="808"/>
      <c r="B2058" s="495"/>
      <c r="C2058" s="499"/>
      <c r="D2058" s="500"/>
      <c r="E2058" s="501"/>
      <c r="F2058" s="499"/>
      <c r="G2058" s="502"/>
      <c r="H2058" s="502"/>
      <c r="I2058" s="502"/>
      <c r="J2058" s="502"/>
      <c r="K2058" s="502"/>
      <c r="L2058" s="502"/>
      <c r="M2058" s="502"/>
      <c r="N2058" s="502"/>
      <c r="O2058" s="740"/>
      <c r="P2058" s="494"/>
      <c r="Q2058" s="494"/>
      <c r="R2058" s="494"/>
      <c r="S2058" s="58"/>
      <c r="T2058" s="58"/>
      <c r="U2058" s="498"/>
      <c r="V2058" s="58"/>
      <c r="W2058" s="58"/>
      <c r="X2058" s="498"/>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c r="A2059" s="813"/>
      <c r="B2059" s="495"/>
      <c r="C2059" s="495"/>
      <c r="D2059" s="180"/>
      <c r="E2059" s="496"/>
      <c r="F2059" s="495"/>
      <c r="G2059" s="487"/>
      <c r="H2059" s="487"/>
      <c r="I2059" s="487"/>
      <c r="J2059" s="487"/>
      <c r="K2059" s="495"/>
      <c r="L2059" s="487"/>
      <c r="M2059" s="487"/>
      <c r="N2059" s="487"/>
      <c r="O2059" s="740"/>
      <c r="P2059" s="494"/>
      <c r="Q2059" s="494"/>
      <c r="R2059" s="494"/>
      <c r="S2059" s="23"/>
      <c r="T2059" s="27" t="str">
        <f>IF(ISBLANK(E2060),"",MATCH(E2060,CNTR_SourceStreamNames,0))</f>
        <v/>
      </c>
      <c r="U2059" s="618"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1"/>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3" t="s">
        <v>262</v>
      </c>
    </row>
    <row r="2060" spans="1:78" s="142" customFormat="1" ht="15" hidden="1" customHeight="1" thickBot="1">
      <c r="A2060" s="869" t="str">
        <f>IF(E2060="","","PRINT")</f>
        <v/>
      </c>
      <c r="B2060" s="166"/>
      <c r="C2060" s="617">
        <f>C2033+1</f>
        <v>75</v>
      </c>
      <c r="D2060" s="166"/>
      <c r="E2060" s="1542"/>
      <c r="F2060" s="1543"/>
      <c r="G2060" s="1543"/>
      <c r="H2060" s="1543"/>
      <c r="I2060" s="1543"/>
      <c r="J2060" s="1544"/>
      <c r="K2060" s="1545" t="str">
        <f>IF(E2061="","",INDEX(EUwideConstants!$F$353:$F$394,MATCH(E2061,EUConst_TierActivityListNames,0)))</f>
        <v/>
      </c>
      <c r="L2060" s="1546"/>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3"/>
      <c r="T2060" s="509" t="s">
        <v>393</v>
      </c>
      <c r="U2060" s="23"/>
      <c r="V2060" s="78"/>
      <c r="W2060" s="56"/>
      <c r="X2060" s="58"/>
      <c r="Y2060" s="58"/>
      <c r="Z2060" s="58"/>
      <c r="AA2060" s="58"/>
      <c r="AB2060" s="58"/>
      <c r="AC2060" s="58"/>
      <c r="AD2060" s="58"/>
      <c r="AE2060" s="58"/>
      <c r="AF2060" s="58"/>
      <c r="AG2060" s="58"/>
      <c r="AH2060" s="58"/>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6"/>
      <c r="BZ2060" s="619" t="b">
        <f>CNTR_CalcRelevant=EUconst_NotRelevant</f>
        <v>0</v>
      </c>
    </row>
    <row r="2061" spans="1:78" s="142" customFormat="1" ht="15" hidden="1" customHeight="1" thickBot="1">
      <c r="A2061" s="808"/>
      <c r="B2061" s="166"/>
      <c r="C2061" s="166"/>
      <c r="D2061" s="166"/>
      <c r="E2061" s="1547" t="str">
        <f>IF(ISBLANK(E2060),"",IF(INDEX(B_InstallationDescription!$E$71:$E$145,MATCH(U2059,B_InstallationDescription!$D$71:$D$145,0))&gt;0,INDEX(B_InstallationDescription!$E$71:$E$145,MATCH(U2059,B_InstallationDescription!$D$71:$D$145,0)),""))</f>
        <v/>
      </c>
      <c r="F2061" s="1548"/>
      <c r="G2061" s="1548"/>
      <c r="H2061" s="1548"/>
      <c r="I2061" s="1548"/>
      <c r="J2061" s="1549"/>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4"/>
      <c r="AH2061" s="30"/>
      <c r="AI2061" s="30"/>
      <c r="AJ2061" s="504"/>
      <c r="AK2061" s="504"/>
      <c r="AL2061" s="342"/>
      <c r="AM2061" s="27" t="s">
        <v>308</v>
      </c>
      <c r="AN2061" s="505"/>
      <c r="AO2061" s="505"/>
      <c r="AP2061" s="30"/>
      <c r="AQ2061" s="30"/>
      <c r="AR2061" s="30"/>
      <c r="AS2061" s="30"/>
      <c r="AT2061" s="30"/>
      <c r="AU2061" s="30"/>
      <c r="AV2061" s="27" t="s">
        <v>315</v>
      </c>
      <c r="AW2061" s="30"/>
      <c r="AX2061" s="492"/>
      <c r="AY2061" s="30"/>
      <c r="AZ2061" s="30"/>
      <c r="BA2061" s="30"/>
      <c r="BB2061" s="27" t="s">
        <v>219</v>
      </c>
      <c r="BC2061" s="30"/>
      <c r="BD2061" s="30"/>
      <c r="BE2061" s="30"/>
      <c r="BF2061" s="30"/>
      <c r="BG2061" s="27"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0"/>
      <c r="BZ2061" s="30"/>
    </row>
    <row r="2062" spans="1:78" s="142" customFormat="1" ht="4.5" hidden="1" customHeight="1" thickBot="1">
      <c r="A2062" s="808"/>
      <c r="B2062" s="166"/>
      <c r="C2062" s="166"/>
      <c r="D2062" s="166"/>
      <c r="E2062" s="166"/>
      <c r="F2062" s="166"/>
      <c r="G2062" s="166"/>
      <c r="M2062" s="143"/>
      <c r="N2062" s="143"/>
      <c r="O2062" s="733"/>
      <c r="P2062" s="33"/>
      <c r="Q2062" s="33"/>
      <c r="R2062" s="33"/>
      <c r="S2062" s="23"/>
      <c r="T2062" s="23"/>
      <c r="U2062" s="23"/>
      <c r="V2062" s="78"/>
      <c r="W2062" s="30"/>
      <c r="X2062" s="30"/>
      <c r="Y2062" s="494"/>
      <c r="Z2062" s="30"/>
      <c r="AA2062" s="30"/>
      <c r="AB2062" s="30"/>
      <c r="AC2062" s="30"/>
      <c r="AD2062" s="30"/>
      <c r="AE2062" s="30"/>
      <c r="AF2062" s="58"/>
      <c r="AG2062" s="30"/>
      <c r="AH2062" s="30"/>
      <c r="AI2062" s="30"/>
      <c r="AJ2062" s="504"/>
      <c r="AK2062" s="504"/>
      <c r="AL2062" s="342"/>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hidden="1" customHeight="1" thickBot="1">
      <c r="A2063" s="808"/>
      <c r="B2063" s="166"/>
      <c r="C2063" s="166"/>
      <c r="D2063" s="166"/>
      <c r="E2063" s="1550" t="str">
        <f>IF(E2060="","",IF(T2061=TRUE,HYPERLINK("#JUMP_14",EUconst_MsgGoOnPFC),HYPERLINK("#JUMP_E_8",EUconst_FurtherGuidancePoint1)))</f>
        <v/>
      </c>
      <c r="F2063" s="1550"/>
      <c r="G2063" s="1550"/>
      <c r="H2063" s="1550"/>
      <c r="I2063" s="1550"/>
      <c r="J2063" s="1550"/>
      <c r="K2063" s="1550"/>
      <c r="L2063" s="1550"/>
      <c r="M2063" s="1550"/>
      <c r="N2063" s="143"/>
      <c r="O2063" s="733"/>
      <c r="P2063" s="33"/>
      <c r="Q2063" s="352" t="str">
        <f>EUconst_SumNonSustBioCO2 &amp; "_" &amp; K2060</f>
        <v>SUM_bioNonSustCO2_</v>
      </c>
      <c r="R2063" s="707"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4"/>
      <c r="AK2063" s="504"/>
      <c r="AL2063" s="342"/>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4.5" hidden="1" customHeight="1">
      <c r="A2064" s="808"/>
      <c r="B2064" s="166"/>
      <c r="C2064" s="166"/>
      <c r="D2064" s="166"/>
      <c r="E2064" s="166"/>
      <c r="F2064" s="166"/>
      <c r="G2064" s="166"/>
      <c r="M2064" s="143"/>
      <c r="N2064" s="143"/>
      <c r="O2064" s="733"/>
      <c r="P2064" s="23"/>
      <c r="Q2064" s="23"/>
      <c r="R2064" s="23"/>
      <c r="S2064" s="23"/>
      <c r="T2064" s="23"/>
      <c r="U2064" s="23"/>
      <c r="V2064" s="30"/>
      <c r="W2064" s="30"/>
      <c r="X2064" s="30"/>
      <c r="Y2064" s="494"/>
      <c r="Z2064" s="30"/>
      <c r="AA2064" s="30"/>
      <c r="AB2064" s="30"/>
      <c r="AC2064" s="30"/>
      <c r="AD2064" s="30"/>
      <c r="AE2064" s="30"/>
      <c r="AF2064" s="58"/>
      <c r="AG2064" s="30"/>
      <c r="AH2064" s="30"/>
      <c r="AI2064" s="30"/>
      <c r="AJ2064" s="504"/>
      <c r="AK2064" s="504"/>
      <c r="AL2064" s="342"/>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hidden="1" customHeight="1" thickBot="1">
      <c r="A2065" s="808"/>
      <c r="B2065" s="166"/>
      <c r="C2065" s="814" t="s">
        <v>4</v>
      </c>
      <c r="D2065" s="512" t="str">
        <f>Translations!$B$622</f>
        <v>VD:</v>
      </c>
      <c r="E2065" s="1560" t="str">
        <f>Translations!$B$667</f>
        <v>Ar veiklos duomenys gaunami sudedant išmatuotus kiekius (t. y. ne atliekant nuolatinius matavimus)?</v>
      </c>
      <c r="F2065" s="1560"/>
      <c r="G2065" s="1560"/>
      <c r="H2065" s="1560"/>
      <c r="I2065" s="1560"/>
      <c r="J2065" s="1560"/>
      <c r="K2065" s="1560"/>
      <c r="L2065" s="1179"/>
      <c r="M2065" s="507"/>
      <c r="O2065" s="733"/>
      <c r="P2065" s="23"/>
      <c r="Q2065" s="23"/>
      <c r="R2065" s="23"/>
      <c r="S2065" s="23"/>
      <c r="T2065" s="23"/>
      <c r="U2065" s="23"/>
      <c r="V2065" s="30"/>
      <c r="W2065" s="30"/>
      <c r="X2065" s="30"/>
      <c r="Y2065" s="494"/>
      <c r="Z2065" s="30"/>
      <c r="AA2065" s="30"/>
      <c r="AB2065" s="30"/>
      <c r="AC2065" s="1172" t="b">
        <f>AND(E2060&lt;&gt;"",T2061&lt;&gt;TRUE)</f>
        <v>0</v>
      </c>
      <c r="AD2065" s="30"/>
      <c r="AE2065" s="30"/>
      <c r="AF2065" s="58"/>
      <c r="AG2065" s="30"/>
      <c r="AH2065" s="30"/>
      <c r="AI2065" s="30"/>
      <c r="AJ2065" s="504"/>
      <c r="AK2065" s="504"/>
      <c r="AL2065" s="342"/>
      <c r="AM2065" s="30"/>
      <c r="AN2065" s="30"/>
      <c r="AO2065" s="30"/>
      <c r="AP2065" s="30"/>
      <c r="AQ2065" s="30"/>
      <c r="AR2065" s="30"/>
      <c r="AS2065" s="30"/>
      <c r="AT2065" s="1172"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2" t="b">
        <f>OR(CNTR_CalcRelevant=EUconst_NotRelevant,AND(COUNTA(CNTR_ListRelevantSections)&gt;0,OR(T2061=TRUE,E2060="")))</f>
        <v>1</v>
      </c>
    </row>
    <row r="2066" spans="1:78" s="142" customFormat="1" ht="4.5" hidden="1" customHeight="1">
      <c r="A2066" s="808"/>
      <c r="B2066" s="166"/>
      <c r="C2066" s="166"/>
      <c r="D2066" s="166"/>
      <c r="E2066" s="166"/>
      <c r="F2066" s="166"/>
      <c r="G2066" s="166"/>
      <c r="H2066" s="495"/>
      <c r="I2066" s="495"/>
      <c r="J2066" s="495"/>
      <c r="K2066" s="495"/>
      <c r="L2066" s="495"/>
      <c r="M2066" s="507"/>
      <c r="O2066" s="733"/>
      <c r="P2066" s="23"/>
      <c r="Q2066" s="23"/>
      <c r="R2066" s="23"/>
      <c r="S2066" s="23"/>
      <c r="T2066" s="23"/>
      <c r="U2066" s="23"/>
      <c r="V2066" s="30"/>
      <c r="W2066" s="30"/>
      <c r="X2066" s="30"/>
      <c r="Y2066" s="494"/>
      <c r="Z2066" s="30"/>
      <c r="AA2066" s="30"/>
      <c r="AB2066" s="30"/>
      <c r="AC2066" s="492"/>
      <c r="AD2066" s="30"/>
      <c r="AE2066" s="30"/>
      <c r="AF2066" s="58"/>
      <c r="AG2066" s="30"/>
      <c r="AH2066" s="30"/>
      <c r="AI2066" s="30"/>
      <c r="AJ2066" s="504"/>
      <c r="AK2066" s="504"/>
      <c r="AL2066" s="342"/>
      <c r="AM2066" s="30"/>
      <c r="AN2066" s="30"/>
      <c r="AO2066" s="30"/>
      <c r="AP2066" s="30"/>
      <c r="AQ2066" s="30"/>
      <c r="AR2066" s="30"/>
      <c r="AS2066" s="30"/>
      <c r="AT2066" s="492"/>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2"/>
    </row>
    <row r="2067" spans="1:78" s="142" customFormat="1" ht="12.75" hidden="1" customHeight="1" thickBot="1">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3"/>
      <c r="Q2067" s="23"/>
      <c r="R2067" s="23"/>
      <c r="S2067" s="23"/>
      <c r="T2067" s="23"/>
      <c r="U2067" s="23"/>
      <c r="V2067" s="30"/>
      <c r="W2067" s="30"/>
      <c r="X2067" s="30"/>
      <c r="Y2067" s="494"/>
      <c r="Z2067" s="30"/>
      <c r="AA2067" s="30"/>
      <c r="AB2067" s="30"/>
      <c r="AC2067" s="1172" t="b">
        <f>AC2065</f>
        <v>0</v>
      </c>
      <c r="AD2067" s="30"/>
      <c r="AE2067" s="30"/>
      <c r="AF2067" s="58"/>
      <c r="AG2067" s="30"/>
      <c r="AH2067" s="30"/>
      <c r="AI2067" s="30"/>
      <c r="AJ2067" s="504"/>
      <c r="AK2067" s="504"/>
      <c r="AL2067" s="342"/>
      <c r="AM2067" s="30"/>
      <c r="AN2067" s="30"/>
      <c r="AO2067" s="30"/>
      <c r="AP2067" s="30"/>
      <c r="AQ2067" s="30"/>
      <c r="AR2067" s="30"/>
      <c r="AS2067" s="30"/>
      <c r="AT2067" s="1172"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2" t="b">
        <f>OR(BZ2065,AND(NOT(ISBLANK(L2065)),L2065=FALSE))</f>
        <v>1</v>
      </c>
    </row>
    <row r="2068" spans="1:78" s="142" customFormat="1" ht="5.0999999999999996" hidden="1" customHeight="1">
      <c r="A2068" s="808"/>
      <c r="B2068" s="166"/>
      <c r="C2068" s="166"/>
      <c r="D2068" s="166"/>
      <c r="E2068" s="166"/>
      <c r="F2068" s="166"/>
      <c r="G2068" s="166"/>
      <c r="M2068" s="143"/>
      <c r="N2068" s="143"/>
      <c r="O2068" s="733"/>
      <c r="P2068" s="23"/>
      <c r="Q2068" s="23"/>
      <c r="R2068" s="23"/>
      <c r="S2068" s="23"/>
      <c r="T2068" s="23"/>
      <c r="U2068" s="23"/>
      <c r="V2068" s="30"/>
      <c r="W2068" s="30"/>
      <c r="X2068" s="30"/>
      <c r="Y2068" s="494"/>
      <c r="Z2068" s="30"/>
      <c r="AA2068" s="30"/>
      <c r="AB2068" s="30"/>
      <c r="AC2068" s="30"/>
      <c r="AD2068" s="30"/>
      <c r="AE2068" s="30"/>
      <c r="AF2068" s="58"/>
      <c r="AG2068" s="30"/>
      <c r="AH2068" s="30"/>
      <c r="AI2068" s="30"/>
      <c r="AJ2068" s="504"/>
      <c r="AK2068" s="504"/>
      <c r="AL2068" s="342"/>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hidden="1" customHeight="1" thickBot="1">
      <c r="A2069" s="808"/>
      <c r="B2069" s="166"/>
      <c r="C2069" s="166"/>
      <c r="D2069" s="166"/>
      <c r="E2069" s="166"/>
      <c r="F2069" s="506" t="str">
        <f>Translations!$B$333</f>
        <v>Pakopa</v>
      </c>
      <c r="G2069" s="1557" t="str">
        <f>Translations!$B$672</f>
        <v>pakopos aprašas</v>
      </c>
      <c r="H2069" s="1557"/>
      <c r="I2069" s="1555" t="str">
        <f>Translations!$B$158</f>
        <v>Vienetas</v>
      </c>
      <c r="J2069" s="1555"/>
      <c r="K2069" s="1555" t="str">
        <f>Translations!$B$673</f>
        <v>Vertė</v>
      </c>
      <c r="L2069" s="1555"/>
      <c r="M2069" s="507" t="str">
        <f>Translations!$B$610</f>
        <v>klaida</v>
      </c>
      <c r="O2069" s="733"/>
      <c r="P2069" s="508"/>
      <c r="Q2069" s="352" t="str">
        <f>EUconst_SumEnergyIN &amp; "_" &amp; K2060</f>
        <v>SUM_EnergyIN_</v>
      </c>
      <c r="R2069" s="399" t="str">
        <f>IF(OR(K2060="",T2061)=TRUE,"",INDEX(BC2075:BE2075,MATCH(K2060,BC2070:BE2070,0)))</f>
        <v/>
      </c>
      <c r="S2069" s="30"/>
      <c r="T2069" s="489"/>
      <c r="U2069" s="30"/>
      <c r="V2069" s="509" t="s">
        <v>303</v>
      </c>
      <c r="W2069" s="30"/>
      <c r="X2069" s="30"/>
      <c r="Y2069" s="494" t="s">
        <v>566</v>
      </c>
      <c r="Z2069" s="494" t="s">
        <v>318</v>
      </c>
      <c r="AA2069" s="30"/>
      <c r="AB2069" s="30"/>
      <c r="AC2069" s="505" t="s">
        <v>309</v>
      </c>
      <c r="AD2069" s="30"/>
      <c r="AE2069" s="30"/>
      <c r="AF2069" s="492" t="s">
        <v>305</v>
      </c>
      <c r="AG2069" s="492" t="s">
        <v>306</v>
      </c>
      <c r="AH2069" s="494" t="s">
        <v>304</v>
      </c>
      <c r="AI2069" s="504" t="s">
        <v>307</v>
      </c>
      <c r="AJ2069" s="504" t="s">
        <v>567</v>
      </c>
      <c r="AK2069" s="510" t="s">
        <v>311</v>
      </c>
      <c r="AL2069" s="342"/>
      <c r="AM2069" s="30"/>
      <c r="AN2069" s="492" t="s">
        <v>305</v>
      </c>
      <c r="AO2069" s="492" t="s">
        <v>306</v>
      </c>
      <c r="AP2069" s="511" t="s">
        <v>310</v>
      </c>
      <c r="AQ2069" s="504" t="s">
        <v>569</v>
      </c>
      <c r="AR2069" s="504" t="s">
        <v>568</v>
      </c>
      <c r="AS2069" s="510" t="s">
        <v>609</v>
      </c>
      <c r="AT2069" s="510" t="s">
        <v>609</v>
      </c>
      <c r="AU2069" s="30"/>
      <c r="AV2069" s="492"/>
      <c r="AW2069" s="492"/>
      <c r="AX2069" s="492" t="s">
        <v>321</v>
      </c>
      <c r="AY2069" s="492"/>
      <c r="AZ2069" s="492"/>
      <c r="BA2069" s="492"/>
      <c r="BB2069" s="492"/>
      <c r="BC2069" s="492"/>
      <c r="BD2069" s="492"/>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3" t="s">
        <v>262</v>
      </c>
    </row>
    <row r="2070" spans="1:78" s="142" customFormat="1" ht="12.75" hidden="1" customHeight="1" thickBot="1">
      <c r="A2070" s="808"/>
      <c r="B2070" s="166"/>
      <c r="C2070" s="777" t="s">
        <v>196</v>
      </c>
      <c r="D2070" s="512" t="str">
        <f>Translations!$B$622</f>
        <v>VD:</v>
      </c>
      <c r="E2070" s="513"/>
      <c r="F2070" s="402"/>
      <c r="G2070" s="1532" t="str">
        <f>IF(OR(ISBLANK(F2070),F2070=EUconst_NoTier),"",IF(Z2070=0,EUconst_NA,IF(ISERROR(Z2070),"",Z2070)))</f>
        <v/>
      </c>
      <c r="H2070" s="1533"/>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0"/>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0"/>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0"/>
      <c r="AV2070" s="492" t="s">
        <v>314</v>
      </c>
      <c r="AW2070" s="492" t="s">
        <v>319</v>
      </c>
      <c r="AX2070" s="524"/>
      <c r="AY2070" s="30" t="s">
        <v>542</v>
      </c>
      <c r="AZ2070" s="30"/>
      <c r="BA2070" s="30"/>
      <c r="BB2070" s="504"/>
      <c r="BC2070" s="493" t="str">
        <f>EUconst_Fuel</f>
        <v>Degimas</v>
      </c>
      <c r="BD2070" s="493" t="str">
        <f>EUconst_ProcessCarbonate</f>
        <v>Proceso metu išsiskiriančios ŠESD</v>
      </c>
      <c r="BE2070" s="493"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4" t="b">
        <f>BZ2065</f>
        <v>1</v>
      </c>
    </row>
    <row r="2071" spans="1:78" s="142" customFormat="1" ht="4.5" hidden="1" customHeight="1">
      <c r="A2071" s="808"/>
      <c r="B2071" s="166"/>
      <c r="C2071" s="814"/>
      <c r="D2071" s="306"/>
      <c r="F2071" s="143"/>
      <c r="G2071" s="143"/>
      <c r="H2071" s="143" t="s">
        <v>236</v>
      </c>
      <c r="I2071" s="525"/>
      <c r="J2071" s="525"/>
      <c r="K2071" s="143"/>
      <c r="L2071" s="143"/>
      <c r="M2071" s="710"/>
      <c r="O2071" s="733"/>
      <c r="P2071" s="33"/>
      <c r="Q2071" s="33"/>
      <c r="R2071" s="33"/>
      <c r="S2071" s="30"/>
      <c r="T2071" s="155"/>
      <c r="U2071" s="497"/>
      <c r="V2071" s="30"/>
      <c r="W2071" s="30"/>
      <c r="X2071" s="497"/>
      <c r="Y2071" s="526"/>
      <c r="Z2071" s="30"/>
      <c r="AA2071" s="30"/>
      <c r="AB2071" s="30"/>
      <c r="AC2071" s="30"/>
      <c r="AD2071" s="30"/>
      <c r="AE2071" s="30"/>
      <c r="AF2071" s="30"/>
      <c r="AG2071" s="30"/>
      <c r="AH2071" s="30"/>
      <c r="AI2071" s="30"/>
      <c r="AJ2071" s="30"/>
      <c r="AK2071" s="30"/>
      <c r="AL2071" s="342"/>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3"/>
    </row>
    <row r="2072" spans="1:78" s="142" customFormat="1" ht="12.75" hidden="1" customHeight="1" thickBot="1">
      <c r="A2072" s="808"/>
      <c r="B2072" s="166"/>
      <c r="C2072" s="814" t="s">
        <v>197</v>
      </c>
      <c r="D2072" s="512" t="str">
        <f>Translations!$B$634</f>
        <v>(prelim.) ITF:</v>
      </c>
      <c r="E2072" s="513"/>
      <c r="F2072" s="527"/>
      <c r="G2072" s="1532" t="str">
        <f t="shared" ref="G2072:G2078" si="518">IF(OR(ISBLANK(F2072),F2072=EUconst_NoTier),"",IF(Z2072=0,EUconst_NotApplicable,IF(ISERROR(Z2072),"",Z2072)))</f>
        <v/>
      </c>
      <c r="H2072" s="1556"/>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3"/>
      <c r="Q2072" s="33"/>
      <c r="R2072" s="33"/>
      <c r="S2072" s="30"/>
      <c r="T2072" s="530" t="str">
        <f>EUconst_CNTR_EF&amp;E2061</f>
        <v>EF_</v>
      </c>
      <c r="U2072" s="497"/>
      <c r="V2072" s="531" t="str">
        <f>V2070</f>
        <v/>
      </c>
      <c r="W2072" s="30"/>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0"/>
      <c r="AC2072" s="535" t="b">
        <f>AND(AC2070,Y2072&lt;&gt;EUconst_NA)</f>
        <v>0</v>
      </c>
      <c r="AD2072" s="30"/>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0"/>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0"/>
      <c r="BA2072" s="30"/>
      <c r="BB2072" s="547" t="s">
        <v>594</v>
      </c>
      <c r="BC2072" s="546" t="str">
        <f>IF(K2060=BC2070,AR2070*IF(AJ2072=EUconst_tCO2pTJ,(AR2073/1000),1)*AR2072*AR2074*AR2078,"")</f>
        <v/>
      </c>
      <c r="BD2072" s="524" t="str">
        <f>IF(K2060=BD2070,AR2070*AR2072*AR2075*AR2078,"")</f>
        <v/>
      </c>
      <c r="BE2072" s="523"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1" t="b">
        <f>OR(BZ2070,Y2072=EUconst_NA)</f>
        <v>1</v>
      </c>
    </row>
    <row r="2073" spans="1:78" s="142" customFormat="1" ht="12.75" hidden="1" customHeight="1" thickBot="1">
      <c r="A2073" s="808"/>
      <c r="B2073" s="166"/>
      <c r="C2073" s="814" t="s">
        <v>198</v>
      </c>
      <c r="D2073" s="512" t="str">
        <f>Translations!$B$636</f>
        <v>GŠV:</v>
      </c>
      <c r="E2073" s="513"/>
      <c r="F2073" s="548"/>
      <c r="G2073" s="1532" t="str">
        <f t="shared" si="518"/>
        <v/>
      </c>
      <c r="H2073" s="1533"/>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3"/>
      <c r="Q2073" s="33"/>
      <c r="R2073" s="33"/>
      <c r="S2073" s="30"/>
      <c r="T2073" s="552" t="str">
        <f>EUconst_CNTR_NCV&amp;E2061</f>
        <v>NCV_</v>
      </c>
      <c r="U2073" s="497"/>
      <c r="V2073" s="553" t="str">
        <f t="shared" ref="V2073:V2078" si="524">V2072</f>
        <v/>
      </c>
      <c r="W2073" s="30"/>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0"/>
      <c r="AC2073" s="557" t="b">
        <f>AND(AC2070,Y2073&lt;&gt;EUconst_NA)</f>
        <v>0</v>
      </c>
      <c r="AD2073" s="30"/>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0"/>
      <c r="AV2073" s="567" t="b">
        <f t="shared" si="521"/>
        <v>0</v>
      </c>
      <c r="AW2073" s="568" t="b">
        <f t="shared" si="522"/>
        <v>0</v>
      </c>
      <c r="AX2073" s="30"/>
      <c r="AY2073" s="553" t="b">
        <f t="shared" si="523"/>
        <v>0</v>
      </c>
      <c r="AZ2073" s="30"/>
      <c r="BA2073" s="30"/>
      <c r="BB2073" s="547" t="s">
        <v>595</v>
      </c>
      <c r="BC2073" s="546" t="str">
        <f>IF(K2060=BC2070,AR2070*IF(AJ2072=EUconst_tCO2pTJ,(AR2073/1000),1)*AR2072*AR2074*AR2077,"")</f>
        <v/>
      </c>
      <c r="BD2073" s="524" t="str">
        <f>IF(K2060=BD2070,AR2070*AR2072*AR2075*AR2077,"")</f>
        <v/>
      </c>
      <c r="BE2073" s="523"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3" t="b">
        <f>OR(BZ2070,Y2073=EUconst_NA)</f>
        <v>1</v>
      </c>
    </row>
    <row r="2074" spans="1:78" s="142" customFormat="1" ht="12.75" hidden="1" customHeight="1" thickBot="1">
      <c r="A2074" s="808"/>
      <c r="B2074" s="166"/>
      <c r="C2074" s="814" t="s">
        <v>199</v>
      </c>
      <c r="D2074" s="512" t="str">
        <f>Translations!$B$638</f>
        <v>OksK:</v>
      </c>
      <c r="E2074" s="513"/>
      <c r="F2074" s="548"/>
      <c r="G2074" s="1532" t="str">
        <f t="shared" si="518"/>
        <v/>
      </c>
      <c r="H2074" s="1533"/>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3"/>
      <c r="Q2074" s="33"/>
      <c r="R2074" s="33"/>
      <c r="S2074" s="30"/>
      <c r="T2074" s="552" t="str">
        <f>EUconst_CNTR_OxidationFactor&amp;E2061</f>
        <v>OxF_</v>
      </c>
      <c r="U2074" s="497"/>
      <c r="V2074" s="553" t="str">
        <f t="shared" si="524"/>
        <v/>
      </c>
      <c r="W2074" s="30"/>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0"/>
      <c r="AC2074" s="557" t="b">
        <f>AND(AC2070,Y2074&lt;&gt;EUconst_NA)</f>
        <v>0</v>
      </c>
      <c r="AD2074" s="30"/>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0"/>
      <c r="AV2074" s="567" t="b">
        <f t="shared" si="521"/>
        <v>0</v>
      </c>
      <c r="AW2074" s="568" t="b">
        <f t="shared" si="522"/>
        <v>0</v>
      </c>
      <c r="AX2074" s="30"/>
      <c r="AY2074" s="594" t="b">
        <f t="shared" si="523"/>
        <v>0</v>
      </c>
      <c r="AZ2074" s="531" t="b">
        <f>AR2074&gt;100%</f>
        <v>0</v>
      </c>
      <c r="BA2074" s="30"/>
      <c r="BB2074" s="547" t="s">
        <v>290</v>
      </c>
      <c r="BC2074" s="546" t="str">
        <f>IF(K2060=BC2070,AR2070*IF(AJ2072=EUconst_tCO2pTJ,(AR2073/1000),1)*AR2072*AR2074*(1-AR2077),"")</f>
        <v/>
      </c>
      <c r="BD2074" s="524" t="str">
        <f>IF(K2060=BD2070,AR2070*AR2072*AR2075*(1-AR2077),"")</f>
        <v/>
      </c>
      <c r="BE2074" s="523"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3" t="b">
        <f>OR(BZ2070,Y2074=EUconst_NA)</f>
        <v>1</v>
      </c>
    </row>
    <row r="2075" spans="1:78" s="142" customFormat="1" ht="12.75" hidden="1" customHeight="1" thickBot="1">
      <c r="A2075" s="808"/>
      <c r="B2075" s="166"/>
      <c r="C2075" s="814" t="s">
        <v>200</v>
      </c>
      <c r="D2075" s="512" t="str">
        <f>Translations!$B$639</f>
        <v>KonvK:</v>
      </c>
      <c r="E2075" s="513"/>
      <c r="F2075" s="548"/>
      <c r="G2075" s="1532" t="str">
        <f t="shared" si="518"/>
        <v/>
      </c>
      <c r="H2075" s="1533"/>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3"/>
      <c r="Q2075" s="33"/>
      <c r="R2075" s="33"/>
      <c r="S2075" s="30"/>
      <c r="T2075" s="552" t="str">
        <f>EUconst_CNTR_ConversionFactor&amp;E2061</f>
        <v>ConvF_</v>
      </c>
      <c r="U2075" s="497"/>
      <c r="V2075" s="553" t="str">
        <f t="shared" si="524"/>
        <v/>
      </c>
      <c r="W2075" s="30"/>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0"/>
      <c r="AC2075" s="557" t="b">
        <f>AND(AC2070,Y2075&lt;&gt;EUconst_NA)</f>
        <v>0</v>
      </c>
      <c r="AD2075" s="30"/>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0"/>
      <c r="AV2075" s="567" t="b">
        <f t="shared" si="521"/>
        <v>0</v>
      </c>
      <c r="AW2075" s="568" t="b">
        <f t="shared" si="522"/>
        <v>0</v>
      </c>
      <c r="AX2075" s="30"/>
      <c r="AY2075" s="594" t="b">
        <f t="shared" si="523"/>
        <v>0</v>
      </c>
      <c r="AZ2075" s="580" t="b">
        <f>AR2075&gt;100%</f>
        <v>0</v>
      </c>
      <c r="BA2075" s="30"/>
      <c r="BB2075" s="578" t="s">
        <v>487</v>
      </c>
      <c r="BC2075" s="579">
        <f>AR2070*AR2073/1000*(1-AR2077)</f>
        <v>0</v>
      </c>
      <c r="BD2075" s="580">
        <f>BC2075</f>
        <v>0</v>
      </c>
      <c r="BE2075" s="581">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3" t="b">
        <f>OR(BZ2070,Y2075=EUconst_NA)</f>
        <v>1</v>
      </c>
    </row>
    <row r="2076" spans="1:78" s="142" customFormat="1" ht="12.75" hidden="1" customHeight="1" thickBot="1">
      <c r="A2076" s="808"/>
      <c r="B2076" s="166"/>
      <c r="C2076" s="814" t="s">
        <v>329</v>
      </c>
      <c r="D2076" s="512" t="str">
        <f>Translations!$B$640</f>
        <v>AnglK:</v>
      </c>
      <c r="E2076" s="513"/>
      <c r="F2076" s="548"/>
      <c r="G2076" s="1532" t="str">
        <f t="shared" si="518"/>
        <v/>
      </c>
      <c r="H2076" s="1533"/>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3"/>
      <c r="Q2076" s="33"/>
      <c r="R2076" s="33"/>
      <c r="S2076" s="30"/>
      <c r="T2076" s="552" t="str">
        <f>EUconst_CNTR_CarbonContent&amp;E2061</f>
        <v>CarbC_</v>
      </c>
      <c r="U2076" s="497"/>
      <c r="V2076" s="553" t="str">
        <f t="shared" si="524"/>
        <v/>
      </c>
      <c r="W2076" s="30"/>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0"/>
      <c r="AC2076" s="557" t="b">
        <f>AND(AC2070,Y2076&lt;&gt;EUconst_NA)</f>
        <v>0</v>
      </c>
      <c r="AD2076" s="30"/>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0"/>
      <c r="AV2076" s="567" t="b">
        <f t="shared" si="521"/>
        <v>0</v>
      </c>
      <c r="AW2076" s="568" t="b">
        <f t="shared" si="522"/>
        <v>0</v>
      </c>
      <c r="AX2076" s="546" t="b">
        <f>OR(AND(AJ2070=EUconst_kNm3,AJ2076=EUconst_tCpt),AND(AJ2070=EUconst_t,AJ2076=EUconst_tCpkNm3))</f>
        <v>0</v>
      </c>
      <c r="AY2076" s="553" t="b">
        <f t="shared" si="523"/>
        <v>0</v>
      </c>
      <c r="AZ2076" s="30"/>
      <c r="BA2076" s="30"/>
      <c r="BB2076" s="578" t="s">
        <v>488</v>
      </c>
      <c r="BC2076" s="579">
        <f>AR2070*AR2073/1000*AR2077</f>
        <v>0</v>
      </c>
      <c r="BD2076" s="580">
        <f>BC2076</f>
        <v>0</v>
      </c>
      <c r="BE2076" s="581">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3" t="b">
        <f>OR(BZ2070,Y2076=EUconst_NA)</f>
        <v>1</v>
      </c>
    </row>
    <row r="2077" spans="1:78" s="142" customFormat="1" ht="12.75" hidden="1" customHeight="1">
      <c r="A2077" s="808"/>
      <c r="B2077" s="166"/>
      <c r="C2077" s="777" t="s">
        <v>330</v>
      </c>
      <c r="D2077" s="512" t="str">
        <f>Translations!$B$641</f>
        <v>BioC:</v>
      </c>
      <c r="E2077" s="513"/>
      <c r="F2077" s="548"/>
      <c r="G2077" s="1532" t="str">
        <f t="shared" si="518"/>
        <v/>
      </c>
      <c r="H2077" s="1533"/>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0"/>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0"/>
      <c r="AC2077" s="557" t="b">
        <f>AND(AC2070,Y2077&lt;&gt;EUconst_NA)</f>
        <v>0</v>
      </c>
      <c r="AD2077" s="30"/>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0"/>
      <c r="AV2077" s="567" t="b">
        <f t="shared" si="521"/>
        <v>0</v>
      </c>
      <c r="AW2077" s="568" t="b">
        <f t="shared" si="522"/>
        <v>0</v>
      </c>
      <c r="AX2077" s="30"/>
      <c r="AY2077" s="594" t="b">
        <f t="shared" si="523"/>
        <v>0</v>
      </c>
      <c r="AZ2077" s="531"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3" t="b">
        <f>OR(BZ2070,Y2077=EUconst_NA)</f>
        <v>1</v>
      </c>
    </row>
    <row r="2078" spans="1:78" s="142" customFormat="1" ht="12.75" hidden="1" customHeight="1" thickBot="1">
      <c r="A2078" s="808"/>
      <c r="B2078" s="166"/>
      <c r="C2078" s="777" t="s">
        <v>454</v>
      </c>
      <c r="D2078" s="512" t="str">
        <f>Translations!$B$647</f>
        <v>Netvar. BioC:</v>
      </c>
      <c r="E2078" s="513"/>
      <c r="F2078" s="597"/>
      <c r="G2078" s="1532" t="str">
        <f t="shared" si="518"/>
        <v/>
      </c>
      <c r="H2078" s="1533"/>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0"/>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0"/>
      <c r="AC2078" s="603" t="b">
        <f>AND(AC2070,Y2078&lt;&gt;EUconst_NA)</f>
        <v>0</v>
      </c>
      <c r="AD2078" s="30"/>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0"/>
      <c r="AV2078" s="613" t="b">
        <f t="shared" si="521"/>
        <v>0</v>
      </c>
      <c r="AW2078" s="614" t="b">
        <f t="shared" si="522"/>
        <v>0</v>
      </c>
      <c r="AX2078" s="30"/>
      <c r="AY2078" s="579" t="b">
        <f t="shared" si="523"/>
        <v>0</v>
      </c>
      <c r="AZ2078" s="580"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80" t="b">
        <f>OR(BZ2070,Y2078=EUconst_NA)</f>
        <v>1</v>
      </c>
    </row>
    <row r="2079" spans="1:78" s="142" customFormat="1" ht="4.5" hidden="1" customHeight="1">
      <c r="A2079" s="808"/>
      <c r="B2079" s="166"/>
      <c r="C2079" s="166"/>
      <c r="D2079" s="180"/>
      <c r="O2079" s="733"/>
      <c r="P2079" s="33"/>
      <c r="Q2079" s="33"/>
      <c r="R2079" s="33"/>
      <c r="S2079" s="174"/>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hidden="1" customHeight="1">
      <c r="A2080" s="808"/>
      <c r="B2080" s="166"/>
      <c r="C2080" s="166"/>
      <c r="D2080" s="1558" t="str">
        <f>Translations!$B$674</f>
        <v>Pakopos galioja nuo:</v>
      </c>
      <c r="E2080" s="1558"/>
      <c r="F2080" s="1559"/>
      <c r="G2080" s="1052"/>
      <c r="H2080" s="615" t="str">
        <f>Translations!$B$675</f>
        <v>iki:</v>
      </c>
      <c r="I2080" s="1052"/>
      <c r="J2080" s="1536" t="str">
        <f>Translations!$B$676</f>
        <v>Atliekų katalogo numeris (jeigu taikytina):</v>
      </c>
      <c r="K2080" s="1537"/>
      <c r="L2080" s="1537"/>
      <c r="M2080" s="1538"/>
      <c r="N2080" s="1289"/>
      <c r="O2080" s="733"/>
      <c r="P2080" s="33"/>
      <c r="Q2080" s="33"/>
      <c r="R2080" s="33"/>
      <c r="S2080" s="1290"/>
      <c r="T2080" s="492"/>
      <c r="U2080" s="492"/>
      <c r="V2080" s="48" t="b">
        <f>IF(V2070="",FALSE,INDEX(CNTR_IsWaste,MATCH(V2070,MSParameters!$A$218:$A$376,0)))</f>
        <v>0</v>
      </c>
      <c r="W2080" s="1290"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hidden="1" customHeight="1">
      <c r="A2081" s="808"/>
      <c r="B2081" s="166"/>
      <c r="C2081" s="166"/>
      <c r="D2081" s="615"/>
      <c r="E2081" s="495"/>
      <c r="F2081" s="495"/>
      <c r="G2081" s="495"/>
      <c r="H2081" s="495"/>
      <c r="I2081" s="495"/>
      <c r="J2081" s="495"/>
      <c r="K2081" s="495"/>
      <c r="L2081" s="495"/>
      <c r="M2081" s="495"/>
      <c r="N2081" s="495"/>
      <c r="O2081" s="733"/>
      <c r="P2081" s="33"/>
      <c r="Q2081" s="33"/>
      <c r="R2081" s="33"/>
      <c r="S2081" s="174"/>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hidden="1" customHeight="1">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3"/>
      <c r="Q2082" s="33"/>
      <c r="R2082" s="33"/>
      <c r="S2082" s="174"/>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hidden="1" customHeight="1">
      <c r="A2083" s="815"/>
      <c r="D2083" s="180"/>
      <c r="O2083" s="573"/>
      <c r="P2083" s="497"/>
      <c r="Q2083" s="497"/>
      <c r="R2083" s="497"/>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hidden="1">
      <c r="A2084" s="815"/>
      <c r="D2084" s="1534" t="str">
        <f>Translations!$B$160</f>
        <v>Pastabos:</v>
      </c>
      <c r="E2084" s="1535"/>
      <c r="F2084" s="1539"/>
      <c r="G2084" s="1540"/>
      <c r="H2084" s="1540"/>
      <c r="I2084" s="1540"/>
      <c r="J2084" s="1540"/>
      <c r="K2084" s="1540"/>
      <c r="L2084" s="1540"/>
      <c r="M2084" s="1540"/>
      <c r="N2084" s="1541"/>
      <c r="O2084" s="573"/>
      <c r="P2084" s="497"/>
      <c r="Q2084" s="497"/>
      <c r="R2084" s="497"/>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hidden="1" customHeight="1" thickBot="1">
      <c r="A2085" s="808"/>
      <c r="B2085" s="495"/>
      <c r="C2085" s="499"/>
      <c r="D2085" s="500"/>
      <c r="E2085" s="501"/>
      <c r="F2085" s="499"/>
      <c r="G2085" s="502"/>
      <c r="H2085" s="502"/>
      <c r="I2085" s="502"/>
      <c r="J2085" s="502"/>
      <c r="K2085" s="502"/>
      <c r="L2085" s="502"/>
      <c r="M2085" s="502"/>
      <c r="N2085" s="502"/>
      <c r="O2085" s="740"/>
      <c r="P2085" s="494"/>
      <c r="Q2085" s="494"/>
      <c r="R2085" s="494"/>
      <c r="S2085" s="58"/>
      <c r="T2085" s="58"/>
      <c r="U2085" s="498"/>
      <c r="V2085" s="58"/>
      <c r="W2085" s="58"/>
      <c r="X2085" s="498"/>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hidden="1">
      <c r="A2086" s="807"/>
      <c r="C2086" s="729"/>
      <c r="D2086" s="40"/>
      <c r="E2086" s="730"/>
      <c r="F2086" s="42"/>
      <c r="G2086" s="41"/>
      <c r="H2086" s="41"/>
      <c r="I2086" s="41"/>
      <c r="J2086" s="41"/>
      <c r="K2086" s="41"/>
      <c r="L2086" s="41"/>
      <c r="M2086" s="41"/>
      <c r="N2086" s="41"/>
      <c r="O2086" s="736"/>
      <c r="P2086" s="392"/>
      <c r="Q2086" s="392"/>
      <c r="R2086" s="392"/>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hidden="1" customHeight="1">
      <c r="A2087" s="770"/>
      <c r="C2087" s="495"/>
      <c r="E2087" s="150"/>
      <c r="F2087" s="1564" t="str">
        <f>EUconst_MsgNextSheet</f>
        <v xml:space="preserve">&lt;&lt;&lt; Į kitą lapą pereisite paspaudę čia &gt;&gt;&gt; </v>
      </c>
      <c r="G2087" s="1565"/>
      <c r="H2087" s="1565"/>
      <c r="I2087" s="1565"/>
      <c r="J2087" s="1565"/>
      <c r="K2087" s="1565"/>
      <c r="L2087" s="1566"/>
      <c r="M2087" s="150"/>
      <c r="N2087" s="150"/>
      <c r="O2087" s="736"/>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hidden="1" thickBot="1">
      <c r="A2088" s="816"/>
      <c r="B2088" s="817"/>
      <c r="C2088" s="818"/>
      <c r="D2088" s="819"/>
      <c r="E2088" s="798"/>
      <c r="F2088" s="820"/>
      <c r="G2088" s="821"/>
      <c r="H2088" s="821"/>
      <c r="I2088" s="821"/>
      <c r="J2088" s="821"/>
      <c r="K2088" s="821"/>
      <c r="L2088" s="821"/>
      <c r="M2088" s="821"/>
      <c r="N2088" s="821"/>
      <c r="O2088" s="822"/>
      <c r="P2088" s="392"/>
      <c r="Q2088" s="392"/>
      <c r="R2088" s="392"/>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c r="A2089" s="55" t="s">
        <v>87</v>
      </c>
      <c r="B2089" s="55" t="s">
        <v>72</v>
      </c>
      <c r="C2089" s="491" t="s">
        <v>72</v>
      </c>
      <c r="D2089" s="55" t="s">
        <v>72</v>
      </c>
      <c r="E2089" s="491"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c r="A2090" s="47" t="s">
        <v>87</v>
      </c>
    </row>
    <row r="2091" spans="1:78" ht="12.75" hidden="1" customHeight="1" thickBot="1">
      <c r="A2091" s="47" t="s">
        <v>87</v>
      </c>
      <c r="B2091" s="250"/>
      <c r="C2091" s="251"/>
      <c r="D2091" s="250"/>
      <c r="E2091" s="251"/>
      <c r="F2091" s="949"/>
      <c r="G2091" s="950"/>
      <c r="H2091" s="950"/>
      <c r="I2091" s="950" t="s">
        <v>74</v>
      </c>
      <c r="J2091" s="950"/>
      <c r="K2091" s="950"/>
      <c r="L2091" s="950"/>
      <c r="M2091" s="951" t="s">
        <v>437</v>
      </c>
      <c r="N2091" s="250"/>
      <c r="O2091" s="267"/>
      <c r="P2091" s="45"/>
      <c r="Q2091" s="45"/>
      <c r="R2091" s="45"/>
      <c r="S2091" s="45"/>
      <c r="T2091" s="45"/>
      <c r="U2091" s="45"/>
      <c r="V2091" s="45"/>
      <c r="W2091" s="45"/>
      <c r="X2091" s="45"/>
      <c r="Y2091" s="45"/>
      <c r="Z2091" s="45"/>
      <c r="AA2091" s="45"/>
      <c r="AB2091" s="45"/>
      <c r="AC2091" s="45"/>
      <c r="AD2091" s="45"/>
    </row>
    <row r="2092" spans="1:78" s="202" customFormat="1" hidden="1">
      <c r="A2092" s="1" t="s">
        <v>87</v>
      </c>
      <c r="C2092" s="726"/>
      <c r="E2092" s="726"/>
      <c r="F2092" s="952">
        <v>1</v>
      </c>
      <c r="G2092" s="953" t="str">
        <f>INDEX(CNTR_SourceStreamNames,F2092)</f>
        <v>F1. Dujinis – Gamtinės dujos; Gamtinės dujos</v>
      </c>
      <c r="H2092" s="953">
        <f>IF(G2092=EUconst_NA,"",MAX($H$2091:H2091)+1)</f>
        <v>1</v>
      </c>
      <c r="I2092" s="954" t="str">
        <f t="shared" ref="I2092:I2123" si="525">IF(COUNTIF($H$2092:$H$2166,F2092)=0,"",INDEX($G$2092:$G$2166,MATCH(F2092,$H$2092:$H$2166,0)))</f>
        <v>F1. Dujinis – Gamtinės dujos; Gamtinės dujos</v>
      </c>
      <c r="J2092" s="953"/>
      <c r="K2092" s="953"/>
      <c r="L2092" s="953"/>
      <c r="M2092" s="636" t="str">
        <f>IF(COUNT(H2092:H2166)=0,"","$I$"&amp;ROW(I2092)&amp;":$I$"&amp; ROW(I2092)-1+MAX(1,H2092:H2166))</f>
        <v>$I$2092:$I$2094</v>
      </c>
      <c r="P2092" s="203"/>
      <c r="Q2092" s="203"/>
      <c r="R2092" s="203"/>
      <c r="S2092" s="203"/>
      <c r="T2092" s="203"/>
      <c r="U2092" s="203"/>
      <c r="V2092" s="203"/>
      <c r="W2092" s="203"/>
      <c r="X2092" s="203"/>
      <c r="Y2092" s="203"/>
      <c r="Z2092" s="203"/>
      <c r="AA2092" s="203"/>
      <c r="AB2092" s="203"/>
      <c r="AC2092" s="203"/>
      <c r="AD2092" s="203"/>
    </row>
    <row r="2093" spans="1:78" s="202" customFormat="1" hidden="1">
      <c r="A2093" s="1" t="s">
        <v>87</v>
      </c>
      <c r="C2093" s="726"/>
      <c r="E2093" s="726"/>
      <c r="F2093" s="625">
        <v>2</v>
      </c>
      <c r="G2093" s="620" t="str">
        <f t="shared" ref="G2093:G2121" si="526">INDEX(CNTR_SourceStreamNames,F2093)</f>
        <v>F2. Skystasis – Dujos ir (arba) dyzelinas; Dyzelinis krosnių kuras</v>
      </c>
      <c r="H2093" s="620">
        <f>IF(G2093=EUconst_NA,"",MAX($H$2091:H2092)+1)</f>
        <v>2</v>
      </c>
      <c r="I2093" s="631" t="str">
        <f t="shared" si="525"/>
        <v>F2. Skystasis – Dujos ir (arba) dyzelinas; Dyzelinis krosnių kuras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c r="A2094" s="1" t="s">
        <v>87</v>
      </c>
      <c r="C2094" s="726"/>
      <c r="E2094" s="726"/>
      <c r="F2094" s="625">
        <v>3</v>
      </c>
      <c r="G2094" s="620" t="str">
        <f t="shared" si="526"/>
        <v>F3. Kietasis – Mediena (ne atliekos); Medienos skiedros</v>
      </c>
      <c r="H2094" s="620">
        <f>IF(G2094=EUconst_NA,"",MAX($H$2091:H2093)+1)</f>
        <v>3</v>
      </c>
      <c r="I2094" s="631" t="str">
        <f t="shared" si="525"/>
        <v>F3. Kietasis – Mediena (ne atliekos); Medienos skiedros</v>
      </c>
      <c r="J2094" s="620"/>
      <c r="K2094" s="620"/>
      <c r="L2094" s="620"/>
      <c r="M2094" s="626"/>
      <c r="N2094" s="7"/>
      <c r="P2094" s="203"/>
      <c r="Q2094" s="203"/>
      <c r="R2094" s="203"/>
      <c r="S2094" s="203"/>
      <c r="T2094" s="203"/>
      <c r="U2094" s="203"/>
      <c r="V2094" s="203"/>
      <c r="W2094" s="203"/>
      <c r="X2094" s="203"/>
      <c r="Y2094" s="203"/>
      <c r="Z2094" s="203"/>
      <c r="AA2094" s="203"/>
      <c r="AB2094" s="203"/>
      <c r="AC2094" s="203"/>
      <c r="AD2094" s="203"/>
    </row>
    <row r="2095" spans="1:78" s="202" customFormat="1" hidden="1">
      <c r="A2095" s="1"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c r="A2096" s="1"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c r="A2097" s="1"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c r="A2098" s="1"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c r="A2099" s="1"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c r="A2100" s="1"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c r="A2101" s="1"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c r="A2102" s="1"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c r="A2103" s="1"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c r="A2104" s="1"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c r="A2105" s="1"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c r="A2106" s="1"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c r="A2107" s="1"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c r="A2108" s="1"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c r="A2109" s="1"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c r="A2110" s="1"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c r="A2111" s="1"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c r="A2112" s="1"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c r="A2113" s="1"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c r="A2114" s="1"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c r="A2115" s="1"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c r="A2116" s="1"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c r="A2117" s="1"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c r="A2118" s="1"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c r="A2119" s="1"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c r="A2120" s="1"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c r="A2121" s="1"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c r="A2122" s="1"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c r="A2123" s="1"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c r="A2124" s="1"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c r="A2125" s="1"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c r="A2126" s="1"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c r="A2127" s="1"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c r="A2128" s="1"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c r="A2129" s="1"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c r="A2130" s="1"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c r="A2131" s="1"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c r="A2132" s="1"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c r="A2133" s="1"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c r="A2134" s="1"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c r="A2135" s="1"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c r="A2136" s="1"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c r="A2137" s="1"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c r="A2138" s="1"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c r="A2139" s="1"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c r="A2140" s="1"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c r="A2141" s="1"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c r="A2142" s="1"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c r="A2143" s="1"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c r="A2144" s="1"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c r="A2145" s="1"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c r="A2146" s="1"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c r="A2147" s="1"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c r="A2148" s="1"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c r="A2149" s="1"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c r="A2150" s="1"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c r="A2151" s="1"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c r="A2152" s="1"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c r="A2153" s="1"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c r="A2154" s="1"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c r="A2155" s="1"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c r="A2156" s="1"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c r="A2157" s="1"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c r="A2158" s="1"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c r="A2159" s="1"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c r="A2160" s="1"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c r="A2161" s="1"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c r="A2162" s="1"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c r="A2163" s="1"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c r="A2164" s="1"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c r="A2165" s="1"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c r="A2166" s="1"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c r="A2167" s="1" t="s">
        <v>87</v>
      </c>
    </row>
    <row r="2168" spans="1:30" hidden="1">
      <c r="A2168" s="1" t="s">
        <v>87</v>
      </c>
    </row>
    <row r="2169" spans="1:30" hidden="1">
      <c r="A2169" s="1" t="s">
        <v>87</v>
      </c>
    </row>
    <row r="2170" spans="1:30" hidden="1">
      <c r="A2170" s="1" t="s">
        <v>87</v>
      </c>
    </row>
    <row r="2171" spans="1:30" hidden="1">
      <c r="A2171" s="1" t="s">
        <v>87</v>
      </c>
    </row>
    <row r="2172" spans="1:30" hidden="1">
      <c r="A2172" s="1" t="s">
        <v>87</v>
      </c>
    </row>
    <row r="2173" spans="1:30" hidden="1"/>
    <row r="2174" spans="1:30" hidden="1"/>
    <row r="2175" spans="1:30" hidden="1"/>
    <row r="2176" spans="1:30"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t="158.25" customHeight="1"/>
  </sheetData>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G887:H887"/>
    <mergeCell ref="G888:H888"/>
    <mergeCell ref="J892:M892"/>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537:H1537"/>
    <mergeCell ref="G1535:H1535"/>
    <mergeCell ref="G1536:H1536"/>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E1687:K1687"/>
    <mergeCell ref="G1691:H1691"/>
    <mergeCell ref="I1691:J1691"/>
    <mergeCell ref="G1697:H1697"/>
    <mergeCell ref="D1729:F1729"/>
    <mergeCell ref="J1729:M1729"/>
    <mergeCell ref="G1721:H1721"/>
    <mergeCell ref="G1722:H1722"/>
    <mergeCell ref="K1736:L1736"/>
    <mergeCell ref="G1724:H1724"/>
    <mergeCell ref="G1725:H1725"/>
    <mergeCell ref="G1726:H1726"/>
    <mergeCell ref="J1702:M1702"/>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sheetPr codeName="Tabelle8">
    <tabColor indexed="15"/>
    <pageSetUpPr fitToPage="1"/>
  </sheetPr>
  <dimension ref="A1:AM389"/>
  <sheetViews>
    <sheetView topLeftCell="B1" zoomScale="115" zoomScaleNormal="115" workbookViewId="0">
      <pane ySplit="4" topLeftCell="A5" activePane="bottomLeft" state="frozen"/>
      <selection activeCell="B2" sqref="B2"/>
      <selection pane="bottomLeft" activeCell="J399" sqref="J399"/>
    </sheetView>
  </sheetViews>
  <sheetFormatPr defaultColWidth="11.42578125" defaultRowHeight="12.75"/>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6"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c r="A1" s="758" t="s">
        <v>87</v>
      </c>
      <c r="B1" s="759"/>
      <c r="C1" s="759"/>
      <c r="D1" s="762"/>
      <c r="E1" s="759"/>
      <c r="F1" s="759"/>
      <c r="G1" s="759"/>
      <c r="H1" s="759"/>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c r="A2" s="764"/>
      <c r="B2" s="1404" t="str">
        <f>Translations!$B$678</f>
        <v>D.
Measurement Approach (Matavimo metodas)</v>
      </c>
      <c r="C2" s="1574"/>
      <c r="D2" s="1575"/>
      <c r="E2" s="1386" t="str">
        <f>Translations!$B$23</f>
        <v>Naršymo laukas</v>
      </c>
      <c r="F2" s="1364"/>
      <c r="G2" s="1366" t="str">
        <f>Translations!$B$24</f>
        <v>Turinys</v>
      </c>
      <c r="H2" s="1367"/>
      <c r="I2" s="1366" t="str">
        <f>Translations!$B$25</f>
        <v>Ankstesnis lapas</v>
      </c>
      <c r="J2" s="1367"/>
      <c r="K2" s="1366" t="str">
        <f>Translations!$B$26</f>
        <v>Kitas lapas</v>
      </c>
      <c r="L2" s="1367"/>
      <c r="M2" s="1366"/>
      <c r="N2" s="1367"/>
      <c r="O2" s="864"/>
      <c r="P2" s="173"/>
    </row>
    <row r="3" spans="1:38" ht="12.75" customHeight="1">
      <c r="A3" s="764"/>
      <c r="B3" s="1576"/>
      <c r="C3" s="1577"/>
      <c r="D3" s="1578"/>
      <c r="E3" s="1359" t="str">
        <f>Translations!$B$27</f>
        <v>Lapo viršus</v>
      </c>
      <c r="F3" s="1359"/>
      <c r="G3" s="1359"/>
      <c r="H3" s="1359"/>
      <c r="I3" s="1359"/>
      <c r="J3" s="1359"/>
      <c r="K3" s="1359"/>
      <c r="L3" s="1359"/>
      <c r="M3" s="1359"/>
      <c r="N3" s="1359"/>
      <c r="O3" s="732"/>
      <c r="P3" s="173"/>
      <c r="U3" s="1156" t="s">
        <v>601</v>
      </c>
      <c r="V3" s="869" t="str">
        <f>ADDRESS(ROW($B$5),COLUMN($B$5)) &amp; ":" &amp; ADDRESS(IF(CNTR_MeasurementRelevant=EUconst_NotRelevant,ROW(P22),ROW(P337))+ROW($P$55)-ROW($P$22),COLUMN($O$5))</f>
        <v>$B$5:$O$55</v>
      </c>
    </row>
    <row r="4" spans="1:38" ht="13.5" customHeight="1" thickBot="1">
      <c r="A4" s="764"/>
      <c r="B4" s="1579"/>
      <c r="C4" s="1580"/>
      <c r="D4" s="1581"/>
      <c r="E4" s="1359" t="str">
        <f>Translations!$B$28</f>
        <v>Lapo galas</v>
      </c>
      <c r="F4" s="1359"/>
      <c r="G4" s="1359"/>
      <c r="H4" s="1359"/>
      <c r="I4" s="1359"/>
      <c r="J4" s="1359"/>
      <c r="K4" s="1359"/>
      <c r="L4" s="1359"/>
      <c r="M4" s="1359"/>
      <c r="N4" s="1359"/>
      <c r="O4" s="732"/>
      <c r="P4" s="173"/>
    </row>
    <row r="5" spans="1:38" ht="12.75" customHeight="1" thickBot="1">
      <c r="A5" s="765"/>
      <c r="B5" s="789"/>
      <c r="C5" s="4"/>
      <c r="D5" s="6"/>
      <c r="E5" s="5"/>
      <c r="F5" s="6"/>
      <c r="G5" s="6"/>
      <c r="H5" s="6"/>
      <c r="I5" s="5"/>
      <c r="J5" s="5"/>
      <c r="K5" s="5"/>
      <c r="L5" s="5"/>
      <c r="M5" s="344"/>
      <c r="N5" s="344"/>
      <c r="O5" s="732"/>
      <c r="P5" s="173"/>
      <c r="AL5" s="45" t="s">
        <v>235</v>
      </c>
    </row>
    <row r="6" spans="1:38" s="140" customFormat="1" ht="25.5" customHeight="1" thickBot="1">
      <c r="A6" s="766"/>
      <c r="B6" s="790"/>
      <c r="C6" s="1398" t="str">
        <f>Translations!$B$499</f>
        <v>D. Matavimu grindžiami metodai</v>
      </c>
      <c r="D6" s="1398"/>
      <c r="E6" s="1398"/>
      <c r="F6" s="1398"/>
      <c r="G6" s="1398"/>
      <c r="H6" s="1398"/>
      <c r="I6" s="1398"/>
      <c r="J6" s="1398"/>
      <c r="K6" s="1398"/>
      <c r="L6" s="1571" t="str">
        <f>IF(OR(CNTR_InstHasMeasurement=TRUE,CNTR_InstHasN2O=TRUE,CNTR_InstHasTransferredCO2=TRUE),EUconst_Relevant,IF(COUNTA(CNTR_ListRelevantSections)&gt;0,EUconst_NotRelevant,EUconst_Relevant))</f>
        <v>nesvarbu</v>
      </c>
      <c r="M6" s="1572"/>
      <c r="N6" s="1573"/>
      <c r="O6" s="733"/>
      <c r="P6" s="174"/>
      <c r="Q6" s="416" t="s">
        <v>136</v>
      </c>
      <c r="R6" s="170"/>
      <c r="S6" s="170"/>
      <c r="T6" s="170"/>
      <c r="U6" s="170"/>
      <c r="V6" s="170"/>
      <c r="W6" s="45"/>
      <c r="X6" s="45"/>
      <c r="Y6" s="45"/>
      <c r="Z6" s="45"/>
      <c r="AA6" s="45"/>
      <c r="AB6" s="45"/>
      <c r="AC6" s="45"/>
      <c r="AD6" s="45"/>
      <c r="AE6" s="45"/>
      <c r="AF6" s="45"/>
      <c r="AG6" s="45"/>
      <c r="AH6" s="45"/>
      <c r="AI6" s="45"/>
      <c r="AJ6" s="45"/>
      <c r="AK6" s="244"/>
      <c r="AL6" s="227" t="b">
        <f>IF(L6=EUconst_NotRelevant,TRUE,FALSE)</f>
        <v>1</v>
      </c>
    </row>
    <row r="7" spans="1:38" s="140" customFormat="1" ht="5.0999999999999996" customHeight="1">
      <c r="A7" s="766"/>
      <c r="B7" s="790"/>
      <c r="C7" s="767"/>
      <c r="D7" s="768"/>
      <c r="E7" s="767"/>
      <c r="F7" s="767"/>
      <c r="G7" s="767"/>
      <c r="H7" s="767"/>
      <c r="I7" s="767"/>
      <c r="J7" s="767"/>
      <c r="K7" s="767"/>
      <c r="L7" s="152"/>
      <c r="M7" s="152"/>
      <c r="N7" s="152"/>
      <c r="O7" s="733"/>
      <c r="P7" s="174"/>
      <c r="Q7" s="170"/>
      <c r="R7" s="170"/>
      <c r="S7" s="170"/>
      <c r="T7" s="170"/>
      <c r="U7" s="170"/>
      <c r="V7" s="170"/>
      <c r="W7" s="45"/>
      <c r="X7" s="45"/>
      <c r="Y7" s="45"/>
      <c r="Z7" s="45"/>
      <c r="AA7" s="45"/>
      <c r="AB7" s="45"/>
      <c r="AC7" s="45"/>
      <c r="AD7" s="45"/>
      <c r="AE7" s="45"/>
      <c r="AF7" s="45"/>
      <c r="AG7" s="45"/>
      <c r="AH7" s="45"/>
      <c r="AI7" s="45"/>
      <c r="AJ7" s="45"/>
      <c r="AK7" s="244"/>
      <c r="AL7" s="244"/>
    </row>
    <row r="8" spans="1:38">
      <c r="A8" s="765"/>
      <c r="B8" s="791"/>
      <c r="C8" s="206"/>
      <c r="D8" s="6"/>
      <c r="E8" s="206"/>
      <c r="F8" s="206"/>
      <c r="G8" s="206"/>
      <c r="H8" s="206"/>
      <c r="I8" s="206"/>
      <c r="J8" s="206"/>
      <c r="K8" s="1507" t="str">
        <f>IF(L6=EUconst_NotRelevant,HYPERLINK("#JUMP_G_Top",EUconst_MsgNextSheet),HYPERLINK("",EUconst_MsgEnterThisSection))</f>
        <v xml:space="preserve">&lt;&lt;&lt; Į kitą lapą pereisite paspaudę čia &gt;&gt;&gt; </v>
      </c>
      <c r="L8" s="1507"/>
      <c r="M8" s="1507"/>
      <c r="N8" s="1507"/>
      <c r="O8" s="734"/>
    </row>
    <row r="9" spans="1:38" ht="5.0999999999999996" customHeight="1">
      <c r="A9" s="823"/>
      <c r="B9" s="835"/>
      <c r="C9" s="9"/>
      <c r="D9" s="824"/>
      <c r="E9" s="265"/>
      <c r="F9" s="201"/>
      <c r="G9" s="265"/>
      <c r="H9" s="265"/>
      <c r="I9" s="265"/>
      <c r="J9" s="265"/>
      <c r="K9" s="265"/>
      <c r="L9" s="265"/>
      <c r="M9" s="265"/>
      <c r="N9" s="265"/>
      <c r="O9" s="743"/>
    </row>
    <row r="10" spans="1:38" s="28" customFormat="1" ht="18.75" customHeight="1">
      <c r="A10" s="766"/>
      <c r="B10" s="842"/>
      <c r="C10" s="717">
        <v>9</v>
      </c>
      <c r="D10" s="35" t="str">
        <f>Translations!$B$679</f>
        <v>Išmetamųjų ŠESD kiekis pagal taršos šaltinius (matavimo taškus)</v>
      </c>
      <c r="E10" s="35"/>
      <c r="F10" s="35"/>
      <c r="G10" s="35"/>
      <c r="H10" s="35"/>
      <c r="I10" s="35"/>
      <c r="J10" s="35"/>
      <c r="K10" s="35"/>
      <c r="L10" s="35"/>
      <c r="M10" s="35"/>
      <c r="N10" s="35"/>
      <c r="O10" s="737"/>
      <c r="P10" s="23"/>
      <c r="Q10" s="23"/>
      <c r="R10" s="23"/>
      <c r="S10" s="23"/>
      <c r="T10" s="23"/>
      <c r="U10" s="23"/>
      <c r="V10" s="23"/>
      <c r="W10" s="23"/>
      <c r="X10" s="23"/>
      <c r="Y10" s="23"/>
      <c r="Z10" s="23"/>
      <c r="AA10" s="23"/>
      <c r="AB10" s="23"/>
      <c r="AC10" s="23"/>
      <c r="AD10" s="23"/>
      <c r="AE10" s="23"/>
      <c r="AF10" s="23"/>
      <c r="AG10" s="23"/>
      <c r="AH10" s="23"/>
      <c r="AI10" s="23"/>
      <c r="AJ10" s="23"/>
      <c r="AK10" s="170"/>
      <c r="AL10" s="170"/>
    </row>
    <row r="11" spans="1:38" s="28" customFormat="1" ht="12.75" customHeight="1">
      <c r="A11" s="766"/>
      <c r="B11" s="842"/>
      <c r="C11" s="832"/>
      <c r="D11" s="142"/>
      <c r="E11" s="832"/>
      <c r="F11" s="832"/>
      <c r="G11" s="832"/>
      <c r="H11" s="832"/>
      <c r="I11" s="832"/>
      <c r="J11" s="832"/>
      <c r="K11" s="832"/>
      <c r="L11" s="832"/>
      <c r="M11" s="832"/>
      <c r="N11" s="832"/>
      <c r="O11" s="737"/>
      <c r="P11" s="23"/>
      <c r="Q11" s="23"/>
      <c r="R11" s="23"/>
      <c r="S11" s="23"/>
      <c r="T11" s="23"/>
      <c r="U11" s="23"/>
      <c r="V11" s="23"/>
      <c r="W11" s="23"/>
      <c r="X11" s="23"/>
      <c r="Y11" s="23"/>
      <c r="Z11" s="23"/>
      <c r="AA11" s="23"/>
      <c r="AB11" s="23"/>
      <c r="AC11" s="23"/>
      <c r="AD11" s="23"/>
      <c r="AE11" s="23"/>
      <c r="AF11" s="23"/>
      <c r="AG11" s="23"/>
      <c r="AH11" s="23"/>
      <c r="AI11" s="23"/>
      <c r="AJ11" s="23"/>
      <c r="AK11" s="170"/>
      <c r="AL11" s="170"/>
    </row>
    <row r="12" spans="1:38" s="391" customFormat="1" ht="25.5" customHeight="1">
      <c r="A12" s="809"/>
      <c r="B12" s="837"/>
      <c r="C12" s="142"/>
      <c r="D12" s="142"/>
      <c r="E12" s="963" t="str">
        <f>Translations!$B$680</f>
        <v>ŠESD koncentracija:</v>
      </c>
      <c r="F12" s="1554" t="str">
        <f>Translations!$B$681</f>
        <v>Ši vertė – atitinkamų ŠESD (CO2 arba N2O) metinis valandinis vidurkis kaminų dujose.</v>
      </c>
      <c r="G12" s="1554"/>
      <c r="H12" s="1554"/>
      <c r="I12" s="1554"/>
      <c r="J12" s="1554"/>
      <c r="K12" s="1554"/>
      <c r="L12" s="1554"/>
      <c r="M12" s="1554"/>
      <c r="N12" s="1554"/>
      <c r="O12" s="1102"/>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1" customFormat="1" ht="12.75" customHeight="1">
      <c r="A13" s="809"/>
      <c r="B13" s="837"/>
      <c r="C13" s="142"/>
      <c r="D13" s="142"/>
      <c r="E13" s="1595" t="str">
        <f>Translations!$B$682</f>
        <v>Biomasės dalis:</v>
      </c>
      <c r="F13" s="1554" t="str">
        <f>Translations!$B$642</f>
        <v>Biomasės dalis – trupmena išreikštas iš biomasės susidariusios anglies kiekio ir kuro arba medžiagos viso anglies kiekio santykis.</v>
      </c>
      <c r="G13" s="1554"/>
      <c r="H13" s="1554"/>
      <c r="I13" s="1554"/>
      <c r="J13" s="1554"/>
      <c r="K13" s="1554"/>
      <c r="L13" s="1554"/>
      <c r="M13" s="1554"/>
      <c r="N13" s="1554"/>
      <c r="O13" s="1102"/>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1" customFormat="1" ht="12.75" customHeight="1">
      <c r="A14" s="809"/>
      <c r="B14" s="837"/>
      <c r="C14" s="142"/>
      <c r="D14" s="142"/>
      <c r="E14" s="1596"/>
      <c r="F14" s="1494" t="str">
        <f>Translations!$B$643</f>
        <v>Ši vertė turėtų būti susijusi su visa biomase, atitinkančia šias sąlygas:</v>
      </c>
      <c r="G14" s="1494"/>
      <c r="H14" s="1494"/>
      <c r="I14" s="1494"/>
      <c r="J14" s="1494"/>
      <c r="K14" s="1494"/>
      <c r="L14" s="1494"/>
      <c r="M14" s="1494"/>
      <c r="N14" s="1494"/>
      <c r="O14" s="1102"/>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1" customFormat="1" ht="12.75" customHeight="1">
      <c r="A15" s="809"/>
      <c r="B15" s="837"/>
      <c r="C15" s="142"/>
      <c r="D15" s="142"/>
      <c r="E15" s="962"/>
      <c r="F15" s="241" t="s">
        <v>261</v>
      </c>
      <c r="G15" s="1494" t="str">
        <f>Translations!$B$644</f>
        <v>jai netaikomi tvarumo kriterijai (pvz., jeigu tai kietasis kuras) ARBA</v>
      </c>
      <c r="H15" s="1494"/>
      <c r="I15" s="1494"/>
      <c r="J15" s="1494"/>
      <c r="K15" s="1494"/>
      <c r="L15" s="1494"/>
      <c r="M15" s="1494"/>
      <c r="N15" s="1494"/>
      <c r="O15" s="1102"/>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1" customFormat="1" ht="12.75" customHeight="1">
      <c r="A16" s="809"/>
      <c r="B16" s="837"/>
      <c r="C16" s="142"/>
      <c r="D16" s="142"/>
      <c r="E16" s="236"/>
      <c r="F16" s="241" t="s">
        <v>261</v>
      </c>
      <c r="G16" s="1552" t="str">
        <f>Translations!$B$645</f>
        <v>jai taikomi tvarumo kriterijai ir ji tuos kriterijus atitinka.</v>
      </c>
      <c r="H16" s="1552"/>
      <c r="I16" s="1552"/>
      <c r="J16" s="1552"/>
      <c r="K16" s="1552"/>
      <c r="L16" s="1552"/>
      <c r="M16" s="1552"/>
      <c r="N16" s="1552"/>
      <c r="O16" s="1102"/>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1" customFormat="1" ht="25.5" customHeight="1">
      <c r="A17" s="809"/>
      <c r="B17" s="837"/>
      <c r="C17" s="142"/>
      <c r="D17" s="9"/>
      <c r="E17" s="1597" t="str">
        <f>Translations!$B$683</f>
        <v>netvarios biomasės dalis:</v>
      </c>
      <c r="F17" s="1554" t="str">
        <f>Translations!$B$648</f>
        <v>„Netvarios“ biomasės dalis – trupmena išreikštas iš netvarios biomasės susidariusios anglies kiekio ir kuro arba medžiagos viso anglies kiekio santykis.</v>
      </c>
      <c r="G17" s="1554"/>
      <c r="H17" s="1554"/>
      <c r="I17" s="1554"/>
      <c r="J17" s="1554"/>
      <c r="K17" s="1554"/>
      <c r="L17" s="1554"/>
      <c r="M17" s="1554"/>
      <c r="N17" s="1554"/>
      <c r="O17" s="1102"/>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1" customFormat="1" ht="12.75" customHeight="1">
      <c r="A18" s="809"/>
      <c r="B18" s="837"/>
      <c r="C18" s="142"/>
      <c r="D18" s="9"/>
      <c r="E18" s="1598"/>
      <c r="F18" s="1552" t="str">
        <f>Translations!$B$649</f>
        <v>Ši vertė turėtų būti susijusi tik su tokia biomase, kuriai taikomi tvarumo kriterijai ir kuri tų kriterijų neatitinka.</v>
      </c>
      <c r="G18" s="1552"/>
      <c r="H18" s="1552"/>
      <c r="I18" s="1552"/>
      <c r="J18" s="1552"/>
      <c r="K18" s="1552"/>
      <c r="L18" s="1552"/>
      <c r="M18" s="1552"/>
      <c r="N18" s="1552"/>
      <c r="O18" s="1102"/>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1" customFormat="1" ht="25.5" customHeight="1">
      <c r="A19" s="809"/>
      <c r="B19" s="837"/>
      <c r="C19" s="142"/>
      <c r="D19" s="142"/>
      <c r="E19" s="965" t="str">
        <f>Translations!$B$684</f>
        <v>VAP:</v>
      </c>
      <c r="F19" s="1567" t="str">
        <f>Translations!$B$685</f>
        <v>atitinkamų ŠESD visuotinio atšilimo potencialas.</v>
      </c>
      <c r="G19" s="1567"/>
      <c r="H19" s="1567"/>
      <c r="I19" s="1567"/>
      <c r="J19" s="1567"/>
      <c r="K19" s="1567"/>
      <c r="L19" s="1567"/>
      <c r="M19" s="1567"/>
      <c r="N19" s="1567"/>
      <c r="O19" s="1102"/>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c r="A20" s="765"/>
      <c r="B20" s="793"/>
      <c r="C20" s="36"/>
      <c r="D20" s="37"/>
      <c r="E20" s="38"/>
      <c r="F20" s="36"/>
      <c r="G20" s="39"/>
      <c r="H20" s="39"/>
      <c r="I20" s="39"/>
      <c r="J20" s="39"/>
      <c r="K20" s="39"/>
      <c r="L20" s="39"/>
      <c r="M20" s="39"/>
      <c r="N20" s="39"/>
      <c r="O20" s="736"/>
      <c r="P20" s="1"/>
      <c r="S20" s="235"/>
    </row>
    <row r="21" spans="1:38" ht="12.75" customHeight="1" thickBot="1">
      <c r="A21" s="765"/>
      <c r="B21" s="836"/>
      <c r="C21" s="206"/>
      <c r="D21" s="6"/>
      <c r="E21" s="245"/>
      <c r="F21" s="245"/>
      <c r="G21" s="245"/>
      <c r="H21" s="245"/>
      <c r="I21" s="245"/>
      <c r="J21" s="245"/>
      <c r="K21" s="245"/>
      <c r="L21" s="245"/>
      <c r="M21" s="5"/>
      <c r="N21" s="5"/>
      <c r="O21" s="737"/>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c r="A22" s="766"/>
      <c r="B22" s="790"/>
      <c r="C22" s="400">
        <v>1</v>
      </c>
      <c r="D22" s="401"/>
      <c r="E22" s="1545" t="str">
        <f>IF(ISBLANK(G22),"",IF(INDEX(B_InstallationDescription!$M$156:$M$165,MATCH(S22,B_InstallationDescription!$E$156:$E$165,0))&gt;0,INDEX(B_InstallationDescription!$M$156:$M$165,MATCH(S22,B_InstallationDescription!$E$156:$E$165,0)),""))</f>
        <v/>
      </c>
      <c r="F22" s="1546"/>
      <c r="G22" s="1542"/>
      <c r="H22" s="1543"/>
      <c r="I22" s="1543"/>
      <c r="J22" s="1544"/>
      <c r="M22" s="347" t="str">
        <f>Translations!$B$686</f>
        <v>Bendras deginant iškastinį kurą išmestas ŠESD kiekis:</v>
      </c>
      <c r="N22" s="1038" t="str">
        <f>IF(G22="","",M34*M38*M39*10^-3*(1-M36)*S49*R40)</f>
        <v/>
      </c>
      <c r="O22" s="741" t="s">
        <v>260</v>
      </c>
      <c r="P22" s="1"/>
      <c r="Q22" s="352" t="str">
        <f>EUconst_SumCO2 &amp; "_" &amp;E22</f>
        <v>SUM_CO2_</v>
      </c>
      <c r="R22" s="27" t="str">
        <f>IF(ISBLANK(G22),"",MATCH(G22,CNTR_MeasurementPoints,0))</f>
        <v/>
      </c>
      <c r="S22" s="27"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0"/>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0"/>
      <c r="AL22" s="32" t="b">
        <f>CNTR_MeasurementRelevant=EUconst_NotRelevant</f>
        <v>1</v>
      </c>
    </row>
    <row r="23" spans="1:38" s="391" customFormat="1" ht="15" customHeight="1" thickBot="1">
      <c r="A23" s="765"/>
      <c r="B23" s="789"/>
      <c r="C23" s="5"/>
      <c r="I23" s="24"/>
      <c r="J23" s="5"/>
      <c r="K23" s="5"/>
      <c r="L23" s="5"/>
      <c r="M23" s="346" t="str">
        <f>Translations!$B$687</f>
        <v>Bendras deginant biomasę išmestas ŠESD kiekis:</v>
      </c>
      <c r="N23" s="1037" t="str">
        <f>IF(G22="","",M34*M38*M39*10^-3*(M36)*S49*R40)</f>
        <v/>
      </c>
      <c r="O23" s="742" t="s">
        <v>260</v>
      </c>
      <c r="P23" s="1"/>
      <c r="Q23" s="353" t="str">
        <f>EUconst_SumBioCO2 &amp; "_" &amp; E22</f>
        <v>SUM_bioCO2_</v>
      </c>
      <c r="R23" s="23"/>
      <c r="S23" s="23"/>
      <c r="T23" s="23"/>
      <c r="U23" s="23"/>
      <c r="V23" s="23"/>
      <c r="W23" s="23"/>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3"/>
      <c r="AL23" s="23"/>
    </row>
    <row r="24" spans="1:38" ht="13.5" thickBot="1">
      <c r="A24" s="765"/>
      <c r="B24" s="1053"/>
      <c r="C24" s="832"/>
      <c r="D24" s="833"/>
      <c r="E24" s="831"/>
      <c r="F24" s="831"/>
      <c r="G24" s="831"/>
      <c r="H24" s="831"/>
      <c r="I24" s="831"/>
      <c r="J24" s="831"/>
      <c r="K24" s="831"/>
      <c r="L24" s="831"/>
      <c r="M24" s="831"/>
      <c r="N24" s="831"/>
      <c r="O24" s="736"/>
      <c r="P24" s="1"/>
      <c r="Q24" s="352" t="str">
        <f>EUconst_SumNonSustBioCO2 &amp; "_" &amp; K21</f>
        <v>SUM_bioNonSustCO2_</v>
      </c>
      <c r="R24" s="707" t="str">
        <f>IF(G22="","",ROUND(M34*M38*M39*10^-3*(1-M36)*M37*S49*R40,0))</f>
        <v/>
      </c>
      <c r="Y24" s="23"/>
      <c r="Z24" s="23"/>
      <c r="AA24" s="23"/>
      <c r="AB24" s="23"/>
      <c r="AC24" s="23"/>
      <c r="AD24" s="23"/>
      <c r="AE24" s="23"/>
      <c r="AF24" s="23"/>
      <c r="AG24" s="23"/>
      <c r="AH24" s="23"/>
      <c r="AI24" s="23"/>
      <c r="AJ24" s="23"/>
      <c r="AK24" s="23"/>
      <c r="AL24" s="23"/>
    </row>
    <row r="25" spans="1:38" ht="13.5" thickBot="1">
      <c r="A25" s="765"/>
      <c r="B25" s="1053"/>
      <c r="C25" s="832"/>
      <c r="D25" s="833"/>
      <c r="E25" s="831"/>
      <c r="F25" s="831"/>
      <c r="G25" s="831"/>
      <c r="H25" s="831"/>
      <c r="I25" s="831"/>
      <c r="J25" s="831"/>
      <c r="K25" s="831"/>
      <c r="L25" s="831"/>
      <c r="M25" s="503" t="str">
        <f>Translations!$B$688</f>
        <v>Bendra iškastinio kuro energetinė vertė:</v>
      </c>
      <c r="N25" s="1253"/>
      <c r="O25" s="925" t="s">
        <v>282</v>
      </c>
      <c r="P25" s="1"/>
      <c r="Q25" s="352" t="str">
        <f>EUconst_SumEnergyIN &amp; "_" &amp; K21</f>
        <v>SUM_EnergyIN_</v>
      </c>
      <c r="R25" s="707">
        <f>N25</f>
        <v>0</v>
      </c>
      <c r="Y25" s="23"/>
      <c r="Z25" s="23"/>
      <c r="AA25" s="23"/>
      <c r="AB25" s="23"/>
      <c r="AC25" s="23"/>
      <c r="AD25" s="23"/>
      <c r="AE25" s="23"/>
      <c r="AF25" s="23"/>
      <c r="AG25" s="23"/>
      <c r="AH25" s="23"/>
      <c r="AI25" s="23"/>
      <c r="AJ25" s="23"/>
      <c r="AK25" s="23"/>
      <c r="AL25" s="32" t="b">
        <f>AL30</f>
        <v>1</v>
      </c>
    </row>
    <row r="26" spans="1:38" ht="13.5" thickBot="1">
      <c r="A26" s="765"/>
      <c r="B26" s="1053"/>
      <c r="C26" s="832"/>
      <c r="D26" s="833"/>
      <c r="E26" s="831"/>
      <c r="F26" s="831"/>
      <c r="G26" s="831"/>
      <c r="H26" s="831"/>
      <c r="I26" s="831"/>
      <c r="J26" s="831"/>
      <c r="K26" s="831"/>
      <c r="L26" s="831"/>
      <c r="M26" s="346" t="str">
        <f>Translations!$B$689</f>
        <v>Bendra biomasės energetinė vertė:</v>
      </c>
      <c r="N26" s="1254"/>
      <c r="O26" s="914" t="s">
        <v>282</v>
      </c>
      <c r="P26" s="1"/>
      <c r="Q26" s="352" t="str">
        <f>EUconst_SumBioEnergyIN &amp; "_" &amp; K21</f>
        <v>SUM_BioEnergyIN_</v>
      </c>
      <c r="R26" s="707">
        <f>N26</f>
        <v>0</v>
      </c>
      <c r="Y26" s="23"/>
      <c r="Z26" s="23"/>
      <c r="AA26" s="23"/>
      <c r="AB26" s="23"/>
      <c r="AC26" s="23"/>
      <c r="AD26" s="23"/>
      <c r="AE26" s="23"/>
      <c r="AF26" s="23"/>
      <c r="AG26" s="23"/>
      <c r="AH26" s="23"/>
      <c r="AI26" s="23"/>
      <c r="AJ26" s="23"/>
      <c r="AK26" s="23"/>
      <c r="AL26" s="32" t="b">
        <f>AL25</f>
        <v>1</v>
      </c>
    </row>
    <row r="27" spans="1:38" s="391" customFormat="1" ht="5.0999999999999996" customHeight="1">
      <c r="A27" s="809"/>
      <c r="B27" s="837"/>
      <c r="D27" s="153"/>
      <c r="K27" s="12"/>
      <c r="L27" s="12"/>
      <c r="M27" s="12"/>
      <c r="N27" s="12"/>
      <c r="O27" s="756"/>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1" customFormat="1" ht="12.75" customHeight="1">
      <c r="A28" s="809"/>
      <c r="B28" s="837"/>
      <c r="D28" s="9" t="s">
        <v>1</v>
      </c>
      <c r="E28" s="1391" t="str">
        <f>Translations!$B$690</f>
        <v>Skaičiavimai</v>
      </c>
      <c r="F28" s="1391"/>
      <c r="G28" s="1391"/>
      <c r="H28" s="1391"/>
      <c r="I28" s="1391"/>
      <c r="J28" s="1391"/>
      <c r="K28" s="1391"/>
      <c r="L28" s="1391"/>
      <c r="M28" s="1391"/>
      <c r="N28" s="1391"/>
      <c r="O28" s="756"/>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1" customFormat="1" ht="5.0999999999999996" customHeight="1" thickBot="1">
      <c r="A29" s="809"/>
      <c r="B29" s="837"/>
      <c r="D29" s="153"/>
      <c r="K29" s="12"/>
      <c r="L29" s="12"/>
      <c r="M29" s="12"/>
      <c r="N29" s="12"/>
      <c r="O29" s="756"/>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1" customFormat="1" ht="12.75" customHeight="1" thickBot="1">
      <c r="A30" s="809"/>
      <c r="B30" s="837"/>
      <c r="D30" s="9"/>
      <c r="E30" s="408" t="str">
        <f>Translations!$B$691</f>
        <v>Informacija apie susijusius sukėliklius, jeigu taikytina:</v>
      </c>
      <c r="F30" s="408"/>
      <c r="G30" s="408"/>
      <c r="H30" s="408"/>
      <c r="I30" s="408"/>
      <c r="J30" s="1590" t="str">
        <f>Translations!$B$692</f>
        <v>Patvirtinamųjų skaičiavimų rezultatas (iškastinis kuras):</v>
      </c>
      <c r="K30" s="1590"/>
      <c r="L30" s="1590"/>
      <c r="M30" s="1590"/>
      <c r="N30" s="1251"/>
      <c r="O30" s="73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1" customFormat="1">
      <c r="A31" s="809"/>
      <c r="B31" s="837"/>
      <c r="D31" s="9"/>
      <c r="E31" s="1591"/>
      <c r="F31" s="1592"/>
      <c r="G31" s="1592"/>
      <c r="H31" s="1592"/>
      <c r="I31" s="1593"/>
      <c r="J31" s="1590" t="str">
        <f>Translations!$B$693</f>
        <v>Patvirtinamųjų skaičiavimų rezultatas (biomasė):</v>
      </c>
      <c r="K31" s="1590"/>
      <c r="L31" s="1590"/>
      <c r="M31" s="1590"/>
      <c r="N31" s="1252"/>
      <c r="O31" s="737"/>
      <c r="P31" s="690"/>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1" customFormat="1" ht="5.0999999999999996" customHeight="1">
      <c r="A32" s="809"/>
      <c r="B32" s="837"/>
      <c r="D32" s="9"/>
      <c r="E32" s="49"/>
      <c r="F32" s="49"/>
      <c r="G32" s="49"/>
      <c r="H32" s="49"/>
      <c r="I32" s="49"/>
      <c r="J32" s="49"/>
      <c r="K32" s="49"/>
      <c r="L32" s="49"/>
      <c r="M32" s="49"/>
      <c r="N32" s="49"/>
      <c r="O32" s="73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1" customFormat="1" ht="12.75" customHeight="1" thickBot="1">
      <c r="A33" s="809"/>
      <c r="B33" s="837"/>
      <c r="I33" s="49"/>
      <c r="J33" s="49"/>
      <c r="K33" s="49"/>
      <c r="L33" s="825" t="str">
        <f>EUconst_Unit</f>
        <v>Vienetas</v>
      </c>
      <c r="M33" s="825"/>
      <c r="O33" s="737"/>
      <c r="P33" s="690"/>
      <c r="Q33" s="23"/>
      <c r="R33" s="23"/>
      <c r="S33" s="23"/>
      <c r="T33" s="23"/>
      <c r="U33" s="23"/>
      <c r="V33" s="23"/>
      <c r="W33" s="23"/>
      <c r="X33" s="23"/>
      <c r="Y33" s="23"/>
      <c r="Z33" s="23"/>
      <c r="AA33" s="23"/>
      <c r="AB33" s="23"/>
      <c r="AC33" s="23"/>
      <c r="AD33" s="23"/>
      <c r="AE33" s="23"/>
      <c r="AF33" s="23"/>
      <c r="AG33" s="23"/>
      <c r="AH33" s="23"/>
      <c r="AI33" s="23"/>
      <c r="AJ33" s="23"/>
      <c r="AK33" s="23"/>
      <c r="AL33" s="23"/>
    </row>
    <row r="34" spans="1:38" s="391" customFormat="1" ht="12.75" customHeight="1" thickBot="1">
      <c r="A34" s="809"/>
      <c r="B34" s="837"/>
      <c r="E34" s="21" t="str">
        <f>Translations!$B$162</f>
        <v>Naudojama pakopa.</v>
      </c>
      <c r="F34" s="402"/>
      <c r="G34" s="411" t="s">
        <v>4</v>
      </c>
      <c r="H34" s="404" t="str">
        <f>Translations!$B$694</f>
        <v>ŠESD koncentracija (metinis valandinis vidurkis):</v>
      </c>
      <c r="I34" s="390"/>
      <c r="J34" s="390"/>
      <c r="K34" s="390"/>
      <c r="L34" s="687" t="str">
        <f>EUconst_gpNm3</f>
        <v>g/Nm3</v>
      </c>
      <c r="M34" s="1255"/>
      <c r="O34" s="737"/>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1" customFormat="1" ht="12.75" customHeight="1" thickBot="1">
      <c r="A35" s="809"/>
      <c r="B35" s="837"/>
      <c r="F35" s="481" t="str">
        <f>IF(OR(ISBLANK(F34),F34=EUconst_NoTier),"",IF(R36=EUconst_NA,EUconst_NA,IF(ISERROR(R36),"",R36)))</f>
        <v/>
      </c>
      <c r="G35" s="411"/>
      <c r="H35" s="404"/>
      <c r="I35" s="390"/>
      <c r="J35" s="390"/>
      <c r="K35" s="390"/>
      <c r="M35" s="153"/>
      <c r="O35" s="737"/>
      <c r="P35" s="23"/>
      <c r="Q35" s="1"/>
      <c r="R35" s="693" t="s">
        <v>544</v>
      </c>
      <c r="S35" s="23"/>
      <c r="T35" s="23"/>
      <c r="U35" s="23"/>
      <c r="V35" s="23"/>
      <c r="W35" s="23"/>
      <c r="X35" s="23"/>
      <c r="Y35" s="23"/>
      <c r="Z35" s="23"/>
      <c r="AA35" s="23"/>
      <c r="AB35" s="23"/>
      <c r="AC35" s="23"/>
      <c r="AD35" s="23"/>
      <c r="AE35" s="23"/>
      <c r="AF35" s="23"/>
      <c r="AG35" s="23"/>
      <c r="AH35" s="23"/>
      <c r="AI35" s="23"/>
      <c r="AJ35" s="23"/>
      <c r="AK35" s="23"/>
      <c r="AL35" s="23"/>
    </row>
    <row r="36" spans="1:38" s="391" customFormat="1" ht="12.75" customHeight="1">
      <c r="A36" s="809"/>
      <c r="B36" s="837"/>
      <c r="D36" s="206"/>
      <c r="G36" s="411" t="s">
        <v>5</v>
      </c>
      <c r="H36" s="404" t="str">
        <f>Translations!$B$682</f>
        <v>Biomasės dalis:</v>
      </c>
      <c r="I36" s="298"/>
      <c r="J36" s="298"/>
      <c r="K36" s="298"/>
      <c r="L36" s="843" t="s">
        <v>261</v>
      </c>
      <c r="M36" s="844"/>
      <c r="O36" s="737"/>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1" customFormat="1" ht="12.75" customHeight="1" thickBot="1">
      <c r="A37" s="809"/>
      <c r="B37" s="837"/>
      <c r="D37" s="206"/>
      <c r="G37" s="411" t="s">
        <v>196</v>
      </c>
      <c r="H37" s="921" t="str">
        <f>Translations!$B$683</f>
        <v>netvarios biomasės dalis:</v>
      </c>
      <c r="I37" s="300"/>
      <c r="J37" s="300"/>
      <c r="K37" s="300"/>
      <c r="L37" s="922" t="s">
        <v>261</v>
      </c>
      <c r="M37" s="923"/>
      <c r="O37" s="737"/>
      <c r="P37" s="23"/>
      <c r="Q37" s="1"/>
      <c r="R37" s="693"/>
      <c r="S37" s="23"/>
      <c r="T37" s="23"/>
      <c r="U37" s="23"/>
      <c r="V37" s="23"/>
      <c r="W37" s="23"/>
      <c r="X37" s="23"/>
      <c r="Y37" s="23"/>
      <c r="Z37" s="23"/>
      <c r="AA37" s="23"/>
      <c r="AB37" s="23"/>
      <c r="AC37" s="23"/>
      <c r="AD37" s="23"/>
      <c r="AE37" s="23"/>
      <c r="AF37" s="23"/>
      <c r="AG37" s="23"/>
      <c r="AH37" s="23"/>
      <c r="AI37" s="23"/>
      <c r="AJ37" s="23"/>
      <c r="AK37" s="23"/>
      <c r="AL37" s="26" t="b">
        <f>AL36</f>
        <v>1</v>
      </c>
    </row>
    <row r="38" spans="1:38" s="391" customFormat="1" ht="12.75" customHeight="1">
      <c r="A38" s="809"/>
      <c r="B38" s="837"/>
      <c r="E38" s="22" t="str">
        <f>Translations!$B$684</f>
        <v>VAP:</v>
      </c>
      <c r="F38" s="691" t="str">
        <f>IF(OR(G22="",F39&lt;&gt;""),"",IF(T22=2,298,1))</f>
        <v/>
      </c>
      <c r="G38" s="411" t="s">
        <v>197</v>
      </c>
      <c r="H38" s="406" t="str">
        <f>Translations!$B$695</f>
        <v>Veikimo valandos:</v>
      </c>
      <c r="I38" s="407"/>
      <c r="J38" s="407"/>
      <c r="K38" s="407"/>
      <c r="L38" s="688" t="str">
        <f>EUconst_hpa</f>
        <v>val./metai</v>
      </c>
      <c r="M38" s="848"/>
      <c r="O38" s="737"/>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1" customFormat="1" ht="12.75" customHeight="1" thickBot="1">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1" customFormat="1" ht="12.75" customHeight="1" thickBot="1">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1" customFormat="1" ht="5.0999999999999996" customHeight="1" thickBot="1">
      <c r="A41" s="809"/>
      <c r="B41" s="837"/>
      <c r="D41" s="826"/>
      <c r="E41" s="206"/>
      <c r="F41" s="206"/>
      <c r="G41" s="206"/>
      <c r="H41" s="206"/>
      <c r="I41" s="206"/>
      <c r="J41" s="206"/>
      <c r="K41" s="206"/>
      <c r="L41" s="206"/>
      <c r="M41" s="6"/>
      <c r="O41" s="737"/>
      <c r="P41" s="23"/>
      <c r="Q41" s="23"/>
      <c r="R41" s="693"/>
      <c r="S41" s="23"/>
      <c r="T41" s="23"/>
      <c r="U41" s="23"/>
      <c r="V41" s="23"/>
      <c r="W41" s="23"/>
      <c r="X41" s="23"/>
      <c r="Y41" s="23"/>
      <c r="Z41" s="23"/>
      <c r="AA41" s="23"/>
      <c r="AB41" s="23"/>
      <c r="AC41" s="23"/>
      <c r="AD41" s="23"/>
      <c r="AE41" s="23"/>
      <c r="AF41" s="23"/>
      <c r="AG41" s="23"/>
      <c r="AH41" s="23"/>
      <c r="AI41" s="23"/>
      <c r="AJ41" s="23"/>
      <c r="AK41" s="23"/>
      <c r="AL41" s="23"/>
    </row>
    <row r="42" spans="1:38" s="391" customFormat="1" ht="12.75" customHeight="1" thickBot="1">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3"/>
      <c r="Q42" s="23"/>
      <c r="R42" s="693"/>
      <c r="S42" s="23"/>
      <c r="T42" s="23"/>
      <c r="U42" s="23"/>
      <c r="V42" s="23"/>
      <c r="W42" s="23"/>
      <c r="X42" s="23"/>
      <c r="Y42" s="23"/>
      <c r="Z42" s="23"/>
      <c r="AA42" s="23"/>
      <c r="AB42" s="23"/>
      <c r="AC42" s="23"/>
      <c r="AD42" s="23"/>
      <c r="AE42" s="23"/>
      <c r="AF42" s="23"/>
      <c r="AG42" s="23"/>
      <c r="AH42" s="23"/>
      <c r="AI42" s="23"/>
      <c r="AJ42" s="23"/>
      <c r="AK42" s="23"/>
      <c r="AL42" s="23"/>
    </row>
    <row r="43" spans="1:38" s="391" customFormat="1" ht="5.0999999999999996" customHeight="1">
      <c r="A43" s="809"/>
      <c r="B43" s="837"/>
      <c r="D43" s="826"/>
      <c r="E43" s="206"/>
      <c r="F43" s="206"/>
      <c r="G43" s="206"/>
      <c r="H43" s="206"/>
      <c r="I43" s="206"/>
      <c r="J43" s="206"/>
      <c r="K43" s="206"/>
      <c r="L43" s="206"/>
      <c r="M43" s="206"/>
      <c r="N43" s="206"/>
      <c r="O43" s="737"/>
      <c r="P43" s="23"/>
      <c r="Q43" s="23"/>
      <c r="R43" s="693"/>
      <c r="S43" s="23"/>
      <c r="T43" s="23"/>
      <c r="U43" s="23"/>
      <c r="V43" s="23"/>
      <c r="W43" s="23"/>
      <c r="X43" s="23"/>
      <c r="Y43" s="23"/>
      <c r="Z43" s="23"/>
      <c r="AA43" s="23"/>
      <c r="AB43" s="23"/>
      <c r="AC43" s="23"/>
      <c r="AD43" s="23"/>
      <c r="AE43" s="23"/>
      <c r="AF43" s="23"/>
      <c r="AG43" s="23"/>
      <c r="AH43" s="23"/>
      <c r="AI43" s="23"/>
      <c r="AJ43" s="23"/>
      <c r="AK43" s="23"/>
      <c r="AL43" s="23"/>
    </row>
    <row r="44" spans="1:38" s="391" customFormat="1" ht="12.75" customHeight="1">
      <c r="A44" s="809"/>
      <c r="B44" s="837"/>
      <c r="D44" s="9" t="s">
        <v>2</v>
      </c>
      <c r="E44" s="1391" t="str">
        <f>Translations!$B$700</f>
        <v>Perduotasis / būdingasis CO2</v>
      </c>
      <c r="F44" s="1391"/>
      <c r="G44" s="1391"/>
      <c r="H44" s="1391"/>
      <c r="I44" s="1391"/>
      <c r="J44" s="1391"/>
      <c r="K44" s="1391"/>
      <c r="L44" s="1391"/>
      <c r="M44" s="1391"/>
      <c r="N44" s="1391"/>
      <c r="O44" s="737"/>
      <c r="P44" s="690"/>
      <c r="Q44" s="23"/>
      <c r="R44" s="23"/>
      <c r="S44" s="23"/>
      <c r="T44" s="23"/>
      <c r="U44" s="23"/>
      <c r="V44" s="23"/>
      <c r="W44" s="23"/>
      <c r="X44" s="23"/>
      <c r="Y44" s="23"/>
      <c r="Z44" s="23"/>
      <c r="AA44" s="23"/>
      <c r="AB44" s="23"/>
      <c r="AC44" s="23"/>
      <c r="AD44" s="23"/>
      <c r="AE44" s="23"/>
      <c r="AF44" s="23"/>
      <c r="AG44" s="23"/>
      <c r="AH44" s="23"/>
      <c r="AI44" s="23"/>
      <c r="AJ44" s="23"/>
      <c r="AK44" s="23"/>
      <c r="AL44" s="23"/>
    </row>
    <row r="45" spans="1:38" s="391" customFormat="1" ht="5.0999999999999996" customHeight="1">
      <c r="A45" s="809"/>
      <c r="B45" s="837"/>
      <c r="D45" s="9"/>
      <c r="E45" s="49"/>
      <c r="F45" s="49"/>
      <c r="G45" s="49"/>
      <c r="H45" s="49"/>
      <c r="I45" s="49"/>
      <c r="J45" s="49"/>
      <c r="K45" s="49"/>
      <c r="L45" s="49"/>
      <c r="M45" s="49"/>
      <c r="N45" s="49"/>
      <c r="O45" s="73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1" customFormat="1" ht="12.75" customHeight="1">
      <c r="A46" s="809"/>
      <c r="B46" s="837"/>
      <c r="D46" s="411" t="s">
        <v>4</v>
      </c>
      <c r="E46" s="413" t="str">
        <f>Translations!$B$170</f>
        <v>Įrenginio pavadinimas</v>
      </c>
      <c r="F46" s="390"/>
      <c r="G46" s="390"/>
      <c r="H46" s="390"/>
      <c r="I46" s="1594"/>
      <c r="J46" s="1582"/>
      <c r="K46" s="1582"/>
      <c r="L46" s="1582"/>
      <c r="M46" s="1582"/>
      <c r="N46" s="1582"/>
      <c r="O46" s="737"/>
      <c r="P46" s="23"/>
      <c r="Q46" s="1107"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1" customFormat="1" ht="12.75" customHeight="1">
      <c r="A47" s="809"/>
      <c r="B47" s="837"/>
      <c r="D47" s="411" t="s">
        <v>5</v>
      </c>
      <c r="E47" s="413" t="str">
        <f>Translations!$B$79</f>
        <v>Veiklos vykdytojo pavadinimas</v>
      </c>
      <c r="F47" s="390"/>
      <c r="G47" s="390"/>
      <c r="H47" s="390"/>
      <c r="I47" s="1594"/>
      <c r="J47" s="1582"/>
      <c r="K47" s="1582"/>
      <c r="L47" s="1582"/>
      <c r="M47" s="1582"/>
      <c r="N47" s="1582"/>
      <c r="O47" s="737"/>
      <c r="P47" s="23"/>
      <c r="Q47" s="1107"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1" customFormat="1" ht="12.75" customHeight="1">
      <c r="A48" s="809"/>
      <c r="B48" s="837"/>
      <c r="D48" s="411" t="s">
        <v>196</v>
      </c>
      <c r="E48" s="413" t="str">
        <f>Translations!$B$171</f>
        <v>Įrenginio unikalus ID</v>
      </c>
      <c r="F48" s="390"/>
      <c r="G48" s="390"/>
      <c r="H48" s="390"/>
      <c r="I48" s="1594"/>
      <c r="J48" s="1582"/>
      <c r="K48" s="1582"/>
      <c r="L48" s="1582"/>
      <c r="M48" s="1582"/>
      <c r="N48" s="1582"/>
      <c r="O48" s="737"/>
      <c r="P48" s="23"/>
      <c r="Q48" s="1107"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1" customFormat="1" ht="12.75" customHeight="1">
      <c r="A49" s="809"/>
      <c r="B49" s="837"/>
      <c r="D49" s="411" t="s">
        <v>197</v>
      </c>
      <c r="E49" s="413" t="str">
        <f>Translations!$B$169</f>
        <v>Perdavimo tipas</v>
      </c>
      <c r="F49" s="390"/>
      <c r="G49" s="390"/>
      <c r="H49" s="390"/>
      <c r="I49" s="1582"/>
      <c r="J49" s="1582"/>
      <c r="K49" s="1582"/>
      <c r="L49" s="1582"/>
      <c r="M49" s="1582"/>
      <c r="N49" s="1582"/>
      <c r="O49" s="73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1" customFormat="1" ht="5.0999999999999996" customHeight="1">
      <c r="A50" s="809"/>
      <c r="B50" s="837"/>
      <c r="D50" s="9"/>
      <c r="E50" s="49"/>
      <c r="F50" s="49"/>
      <c r="G50" s="49"/>
      <c r="H50" s="49"/>
      <c r="I50" s="49"/>
      <c r="J50" s="49"/>
      <c r="K50" s="49"/>
      <c r="L50" s="49"/>
      <c r="M50" s="49"/>
      <c r="N50" s="49"/>
      <c r="O50" s="73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1" customFormat="1" ht="5.0999999999999996" customHeight="1">
      <c r="A51" s="809"/>
      <c r="B51" s="837"/>
      <c r="D51" s="9"/>
      <c r="E51" s="49"/>
      <c r="F51" s="49"/>
      <c r="G51" s="49"/>
      <c r="H51" s="49"/>
      <c r="I51" s="49"/>
      <c r="J51" s="49"/>
      <c r="K51" s="49"/>
      <c r="L51" s="49"/>
      <c r="M51" s="49"/>
      <c r="N51" s="49"/>
      <c r="O51" s="73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1" customFormat="1" ht="12.75" customHeight="1">
      <c r="A52" s="809"/>
      <c r="B52" s="837"/>
      <c r="E52" s="1589" t="str">
        <f>Translations!$B$701</f>
        <v>Pastabos (pvz., patvirtinamųjų skaičiavimų aprašas arba ar trūksta didelės duomenų dalies):</v>
      </c>
      <c r="F52" s="1589"/>
      <c r="G52" s="1589"/>
      <c r="H52" s="1589"/>
      <c r="I52" s="1589"/>
      <c r="J52" s="1589"/>
      <c r="K52" s="1589"/>
      <c r="L52" s="1589"/>
      <c r="M52" s="1589"/>
      <c r="N52" s="1589"/>
      <c r="O52" s="73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1" customFormat="1" ht="12.75" customHeight="1">
      <c r="A53" s="809"/>
      <c r="B53" s="837"/>
      <c r="D53" s="10"/>
      <c r="E53" s="1583"/>
      <c r="F53" s="1584"/>
      <c r="G53" s="1584"/>
      <c r="H53" s="1584"/>
      <c r="I53" s="1584"/>
      <c r="J53" s="1584"/>
      <c r="K53" s="1584"/>
      <c r="L53" s="1584"/>
      <c r="M53" s="1584"/>
      <c r="N53" s="1585"/>
      <c r="O53" s="73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1" customFormat="1" ht="12.75" customHeight="1">
      <c r="A54" s="809"/>
      <c r="B54" s="837"/>
      <c r="D54" s="10"/>
      <c r="E54" s="1586"/>
      <c r="F54" s="1587"/>
      <c r="G54" s="1587"/>
      <c r="H54" s="1587"/>
      <c r="I54" s="1587"/>
      <c r="J54" s="1587"/>
      <c r="K54" s="1587"/>
      <c r="L54" s="1587"/>
      <c r="M54" s="1587"/>
      <c r="N54" s="1588"/>
      <c r="O54" s="73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c r="A55" s="765"/>
      <c r="B55" s="793"/>
      <c r="C55" s="36"/>
      <c r="D55" s="37"/>
      <c r="E55" s="38"/>
      <c r="F55" s="36"/>
      <c r="G55" s="39"/>
      <c r="H55" s="39"/>
      <c r="I55" s="39"/>
      <c r="J55" s="39"/>
      <c r="K55" s="39"/>
      <c r="L55" s="39"/>
      <c r="M55" s="39"/>
      <c r="N55" s="39"/>
      <c r="O55" s="736"/>
      <c r="P55" s="1"/>
      <c r="S55" s="235"/>
      <c r="AK55" s="23"/>
    </row>
    <row r="56" spans="1:38" ht="3" customHeight="1" thickBot="1">
      <c r="A56" s="765"/>
      <c r="B56" s="836"/>
      <c r="C56" s="206"/>
      <c r="D56" s="6"/>
      <c r="E56" s="245"/>
      <c r="F56" s="245"/>
      <c r="G56" s="245"/>
      <c r="H56" s="245"/>
      <c r="I56" s="245"/>
      <c r="J56" s="245"/>
      <c r="K56" s="245"/>
      <c r="L56" s="245"/>
      <c r="M56" s="5"/>
      <c r="N56" s="5"/>
      <c r="O56" s="737"/>
      <c r="P56" s="1"/>
      <c r="Q56" s="23"/>
      <c r="R56" s="23"/>
      <c r="S56" s="23"/>
      <c r="V56" s="23"/>
      <c r="W56" s="23"/>
      <c r="X56" s="27" t="s">
        <v>492</v>
      </c>
      <c r="Y56" s="23"/>
      <c r="Z56" s="23"/>
      <c r="AA56" s="23"/>
      <c r="AB56" s="23"/>
      <c r="AC56" s="23"/>
      <c r="AD56" s="23"/>
      <c r="AE56" s="23"/>
      <c r="AF56" s="23"/>
      <c r="AG56" s="23"/>
      <c r="AH56" s="23"/>
      <c r="AI56" s="23"/>
      <c r="AJ56" s="23"/>
    </row>
    <row r="57" spans="1:38" s="142" customFormat="1" ht="15" hidden="1" customHeight="1" thickBot="1">
      <c r="A57" s="766"/>
      <c r="B57" s="790"/>
      <c r="C57" s="400">
        <f>C22+1</f>
        <v>2</v>
      </c>
      <c r="D57" s="401"/>
      <c r="E57" s="1545" t="str">
        <f>IF(ISBLANK(G57),"",IF(INDEX(B_InstallationDescription!$M$156:$M$165,MATCH(S57,B_InstallationDescription!$E$156:$E$165,0))&gt;0,INDEX(B_InstallationDescription!$M$156:$M$165,MATCH(S57,B_InstallationDescription!$E$156:$E$165,0)),""))</f>
        <v/>
      </c>
      <c r="F57" s="1546"/>
      <c r="G57" s="1542"/>
      <c r="H57" s="1543"/>
      <c r="I57" s="1543"/>
      <c r="J57" s="1544"/>
      <c r="M57" s="347" t="str">
        <f>Translations!$B$686</f>
        <v>Bendras deginant iškastinį kurą išmestas ŠESD kiekis:</v>
      </c>
      <c r="N57" s="1038" t="str">
        <f>IF(G57="","",M69*M73*M74*10^-3*(1-M71)*S84*R75)</f>
        <v/>
      </c>
      <c r="O57" s="741" t="s">
        <v>260</v>
      </c>
      <c r="P57" s="1"/>
      <c r="Q57" s="352" t="str">
        <f>EUconst_SumCO2 &amp; "_" &amp;E57</f>
        <v>SUM_CO2_</v>
      </c>
      <c r="R57" s="27" t="str">
        <f>IF(ISBLANK(G57),"",MATCH(G57,CNTR_MeasurementPoints,0))</f>
        <v/>
      </c>
      <c r="S57" s="27"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0"/>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0"/>
      <c r="AL57" s="32" t="b">
        <f>CNTR_MeasurementRelevant=EUconst_NotRelevant</f>
        <v>1</v>
      </c>
    </row>
    <row r="58" spans="1:38" s="391" customFormat="1" ht="12" hidden="1" customHeight="1" thickBot="1">
      <c r="A58" s="765"/>
      <c r="B58" s="789"/>
      <c r="C58" s="5"/>
      <c r="I58" s="24"/>
      <c r="J58" s="5"/>
      <c r="K58" s="5"/>
      <c r="L58" s="5"/>
      <c r="M58" s="346" t="str">
        <f>Translations!$B$687</f>
        <v>Bendras deginant biomasę išmestas ŠESD kiekis:</v>
      </c>
      <c r="N58" s="1037" t="str">
        <f>IF(G57="","",M69*M73*M74*10^-3*(M71)*S84*R75)</f>
        <v/>
      </c>
      <c r="O58" s="742" t="s">
        <v>260</v>
      </c>
      <c r="P58" s="1"/>
      <c r="Q58" s="353" t="str">
        <f>EUconst_SumBioCO2 &amp; "_" &amp; E57</f>
        <v>SUM_bioCO2_</v>
      </c>
      <c r="R58" s="23"/>
      <c r="S58" s="23"/>
      <c r="T58" s="23"/>
      <c r="U58" s="23"/>
      <c r="V58" s="23"/>
      <c r="W58" s="23"/>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3"/>
      <c r="AL58" s="23"/>
    </row>
    <row r="59" spans="1:38" ht="13.5" hidden="1" thickBot="1">
      <c r="A59" s="765"/>
      <c r="B59" s="1053"/>
      <c r="C59" s="832"/>
      <c r="D59" s="833"/>
      <c r="E59" s="831"/>
      <c r="F59" s="831"/>
      <c r="G59" s="831"/>
      <c r="H59" s="831"/>
      <c r="I59" s="831"/>
      <c r="J59" s="831"/>
      <c r="K59" s="831"/>
      <c r="L59" s="831"/>
      <c r="M59" s="831"/>
      <c r="N59" s="831"/>
      <c r="O59" s="736"/>
      <c r="P59" s="1"/>
      <c r="Q59" s="352" t="str">
        <f>EUconst_SumNonSustBioCO2 &amp; "_" &amp; K56</f>
        <v>SUM_bioNonSustCO2_</v>
      </c>
      <c r="R59" s="707" t="str">
        <f>IF(G57="","",ROUND(M69*M73*M74*10^-3*(1-M71)*M72*S84*R75,0))</f>
        <v/>
      </c>
      <c r="Y59" s="23"/>
      <c r="Z59" s="23"/>
      <c r="AA59" s="23"/>
      <c r="AB59" s="23"/>
      <c r="AC59" s="23"/>
      <c r="AD59" s="23"/>
      <c r="AE59" s="23"/>
      <c r="AF59" s="23"/>
      <c r="AG59" s="23"/>
      <c r="AH59" s="23"/>
      <c r="AI59" s="23"/>
      <c r="AJ59" s="23"/>
      <c r="AK59" s="23"/>
      <c r="AL59" s="23"/>
    </row>
    <row r="60" spans="1:38" ht="13.5" hidden="1" thickBot="1">
      <c r="A60" s="765"/>
      <c r="B60" s="1053"/>
      <c r="C60" s="832"/>
      <c r="D60" s="833"/>
      <c r="E60" s="831"/>
      <c r="F60" s="831"/>
      <c r="G60" s="831"/>
      <c r="H60" s="831"/>
      <c r="I60" s="831"/>
      <c r="J60" s="831"/>
      <c r="K60" s="831"/>
      <c r="L60" s="831"/>
      <c r="M60" s="503" t="str">
        <f>Translations!$B$688</f>
        <v>Bendra iškastinio kuro energetinė vertė:</v>
      </c>
      <c r="N60" s="1092"/>
      <c r="O60" s="925" t="s">
        <v>282</v>
      </c>
      <c r="P60" s="1"/>
      <c r="Q60" s="352" t="str">
        <f>EUconst_SumEnergyIN &amp; "_" &amp; K56</f>
        <v>SUM_EnergyIN_</v>
      </c>
      <c r="R60" s="707">
        <f>N60</f>
        <v>0</v>
      </c>
      <c r="Y60" s="23"/>
      <c r="Z60" s="23"/>
      <c r="AA60" s="23"/>
      <c r="AB60" s="23"/>
      <c r="AC60" s="23"/>
      <c r="AD60" s="23"/>
      <c r="AE60" s="23"/>
      <c r="AF60" s="23"/>
      <c r="AG60" s="23"/>
      <c r="AH60" s="23"/>
      <c r="AI60" s="23"/>
      <c r="AJ60" s="23"/>
      <c r="AK60" s="23"/>
      <c r="AL60" s="32" t="b">
        <f>AL65</f>
        <v>1</v>
      </c>
    </row>
    <row r="61" spans="1:38" ht="13.5" hidden="1" thickBot="1">
      <c r="A61" s="765"/>
      <c r="B61" s="1053"/>
      <c r="C61" s="832"/>
      <c r="D61" s="833"/>
      <c r="E61" s="831"/>
      <c r="F61" s="831"/>
      <c r="G61" s="831"/>
      <c r="H61" s="831"/>
      <c r="I61" s="831"/>
      <c r="J61" s="831"/>
      <c r="K61" s="831"/>
      <c r="L61" s="831"/>
      <c r="M61" s="346" t="str">
        <f>Translations!$B$689</f>
        <v>Bendra biomasės energetinė vertė:</v>
      </c>
      <c r="N61" s="1093"/>
      <c r="O61" s="914" t="s">
        <v>282</v>
      </c>
      <c r="P61" s="1"/>
      <c r="Q61" s="352" t="str">
        <f>EUconst_SumBioEnergyIN &amp; "_" &amp; K56</f>
        <v>SUM_BioEnergyIN_</v>
      </c>
      <c r="R61" s="707">
        <f>N61</f>
        <v>0</v>
      </c>
      <c r="Y61" s="23"/>
      <c r="Z61" s="23"/>
      <c r="AA61" s="23"/>
      <c r="AB61" s="23"/>
      <c r="AC61" s="23"/>
      <c r="AD61" s="23"/>
      <c r="AE61" s="23"/>
      <c r="AF61" s="23"/>
      <c r="AG61" s="23"/>
      <c r="AH61" s="23"/>
      <c r="AI61" s="23"/>
      <c r="AJ61" s="23"/>
      <c r="AK61" s="23"/>
      <c r="AL61" s="32" t="b">
        <f>AL60</f>
        <v>1</v>
      </c>
    </row>
    <row r="62" spans="1:38" s="391" customFormat="1" ht="4.5" hidden="1" customHeight="1">
      <c r="A62" s="809"/>
      <c r="B62" s="837"/>
      <c r="D62" s="153"/>
      <c r="K62" s="12"/>
      <c r="L62" s="12"/>
      <c r="M62" s="12"/>
      <c r="N62" s="12"/>
      <c r="O62" s="756"/>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1" customFormat="1" ht="12.75" hidden="1" customHeight="1">
      <c r="A63" s="809"/>
      <c r="B63" s="837"/>
      <c r="D63" s="9" t="s">
        <v>1</v>
      </c>
      <c r="E63" s="1391" t="str">
        <f>Translations!$B$690</f>
        <v>Skaičiavimai</v>
      </c>
      <c r="F63" s="1391"/>
      <c r="G63" s="1391"/>
      <c r="H63" s="1391"/>
      <c r="I63" s="1391"/>
      <c r="J63" s="1391"/>
      <c r="K63" s="1391"/>
      <c r="L63" s="1391"/>
      <c r="M63" s="1391"/>
      <c r="N63" s="1391"/>
      <c r="O63" s="756"/>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1" customFormat="1" ht="4.5" hidden="1" customHeight="1">
      <c r="A64" s="809"/>
      <c r="B64" s="837"/>
      <c r="D64" s="153"/>
      <c r="K64" s="12"/>
      <c r="L64" s="12"/>
      <c r="M64" s="12"/>
      <c r="N64" s="12"/>
      <c r="O64" s="756"/>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1" customFormat="1" ht="12.75" hidden="1" customHeight="1" thickBot="1">
      <c r="A65" s="809"/>
      <c r="B65" s="837"/>
      <c r="D65" s="9"/>
      <c r="E65" s="408" t="str">
        <f>Translations!$B$691</f>
        <v>Informacija apie susijusius sukėliklius, jeigu taikytina:</v>
      </c>
      <c r="F65" s="408"/>
      <c r="G65" s="408"/>
      <c r="H65" s="408"/>
      <c r="I65" s="408"/>
      <c r="J65" s="1590" t="str">
        <f>Translations!$B$692</f>
        <v>Patvirtinamųjų skaičiavimų rezultatas (iškastinis kuras):</v>
      </c>
      <c r="K65" s="1590"/>
      <c r="L65" s="1590"/>
      <c r="M65" s="1590"/>
      <c r="N65" s="1251"/>
      <c r="O65" s="73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1" customFormat="1" hidden="1">
      <c r="A66" s="809"/>
      <c r="B66" s="837"/>
      <c r="D66" s="9"/>
      <c r="E66" s="1591"/>
      <c r="F66" s="1592"/>
      <c r="G66" s="1592"/>
      <c r="H66" s="1592"/>
      <c r="I66" s="1593"/>
      <c r="J66" s="1590" t="str">
        <f>Translations!$B$693</f>
        <v>Patvirtinamųjų skaičiavimų rezultatas (biomasė):</v>
      </c>
      <c r="K66" s="1590"/>
      <c r="L66" s="1590"/>
      <c r="M66" s="1590"/>
      <c r="N66" s="1252"/>
      <c r="O66" s="737"/>
      <c r="P66" s="690"/>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1" customFormat="1" ht="5.0999999999999996" hidden="1" customHeight="1">
      <c r="A67" s="809"/>
      <c r="B67" s="837"/>
      <c r="D67" s="9"/>
      <c r="E67" s="49"/>
      <c r="F67" s="49"/>
      <c r="G67" s="49"/>
      <c r="H67" s="49"/>
      <c r="I67" s="49"/>
      <c r="J67" s="49"/>
      <c r="K67" s="49"/>
      <c r="L67" s="49"/>
      <c r="M67" s="49"/>
      <c r="N67" s="49"/>
      <c r="O67" s="73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1" customFormat="1" ht="12.75" hidden="1" customHeight="1">
      <c r="A68" s="809"/>
      <c r="B68" s="837"/>
      <c r="I68" s="49"/>
      <c r="J68" s="49"/>
      <c r="K68" s="49"/>
      <c r="L68" s="825" t="str">
        <f>EUconst_Unit</f>
        <v>Vienetas</v>
      </c>
      <c r="M68" s="825"/>
      <c r="O68" s="737"/>
      <c r="P68" s="690"/>
      <c r="Q68" s="23"/>
      <c r="R68" s="23"/>
      <c r="S68" s="23"/>
      <c r="T68" s="23"/>
      <c r="U68" s="23"/>
      <c r="V68" s="23"/>
      <c r="W68" s="23"/>
      <c r="X68" s="23"/>
      <c r="Y68" s="23"/>
      <c r="Z68" s="23"/>
      <c r="AA68" s="23"/>
      <c r="AB68" s="23"/>
      <c r="AC68" s="23"/>
      <c r="AD68" s="23"/>
      <c r="AE68" s="23"/>
      <c r="AF68" s="23"/>
      <c r="AG68" s="23"/>
      <c r="AH68" s="23"/>
      <c r="AI68" s="23"/>
      <c r="AJ68" s="23"/>
      <c r="AK68" s="23"/>
      <c r="AL68" s="23"/>
    </row>
    <row r="69" spans="1:38" s="391" customFormat="1" ht="12.75" hidden="1" customHeight="1" thickBot="1">
      <c r="A69" s="809"/>
      <c r="B69" s="837"/>
      <c r="E69" s="21" t="str">
        <f>Translations!$B$162</f>
        <v>Naudojama pakopa.</v>
      </c>
      <c r="F69" s="402"/>
      <c r="G69" s="411" t="s">
        <v>4</v>
      </c>
      <c r="H69" s="404" t="str">
        <f>Translations!$B$694</f>
        <v>ŠESD koncentracija (metinis valandinis vidurkis):</v>
      </c>
      <c r="I69" s="390"/>
      <c r="J69" s="390"/>
      <c r="K69" s="390"/>
      <c r="L69" s="687" t="str">
        <f>EUconst_gpNm3</f>
        <v>g/Nm3</v>
      </c>
      <c r="M69" s="1255"/>
      <c r="O69" s="737"/>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1" customFormat="1" ht="12.75" hidden="1" customHeight="1">
      <c r="A70" s="809"/>
      <c r="B70" s="837"/>
      <c r="F70" s="481" t="str">
        <f>IF(OR(ISBLANK(F69),F69=EUconst_NoTier),"",IF(R71=EUconst_NA,EUconst_NA,IF(ISERROR(R71),"",R71)))</f>
        <v/>
      </c>
      <c r="G70" s="411"/>
      <c r="H70" s="404"/>
      <c r="I70" s="390"/>
      <c r="J70" s="390"/>
      <c r="K70" s="390"/>
      <c r="M70" s="153"/>
      <c r="O70" s="737"/>
      <c r="P70" s="23"/>
      <c r="Q70" s="1"/>
      <c r="R70" s="693" t="s">
        <v>544</v>
      </c>
      <c r="S70" s="23"/>
      <c r="T70" s="23"/>
      <c r="U70" s="23"/>
      <c r="V70" s="23"/>
      <c r="W70" s="23"/>
      <c r="X70" s="23"/>
      <c r="Y70" s="23"/>
      <c r="Z70" s="23"/>
      <c r="AA70" s="23"/>
      <c r="AB70" s="23"/>
      <c r="AC70" s="23"/>
      <c r="AD70" s="23"/>
      <c r="AE70" s="23"/>
      <c r="AF70" s="23"/>
      <c r="AG70" s="23"/>
      <c r="AH70" s="23"/>
      <c r="AI70" s="23"/>
      <c r="AJ70" s="23"/>
      <c r="AK70" s="23"/>
      <c r="AL70" s="23"/>
    </row>
    <row r="71" spans="1:38" s="391" customFormat="1" ht="12.75" hidden="1" customHeight="1">
      <c r="A71" s="809"/>
      <c r="B71" s="837"/>
      <c r="D71" s="206"/>
      <c r="G71" s="411" t="s">
        <v>5</v>
      </c>
      <c r="H71" s="404" t="str">
        <f>Translations!$B$682</f>
        <v>Biomasės dalis:</v>
      </c>
      <c r="I71" s="298"/>
      <c r="J71" s="298"/>
      <c r="K71" s="298"/>
      <c r="L71" s="843" t="s">
        <v>261</v>
      </c>
      <c r="M71" s="844"/>
      <c r="O71" s="737"/>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1" customFormat="1" ht="12.75" hidden="1" customHeight="1">
      <c r="A72" s="809"/>
      <c r="B72" s="837"/>
      <c r="D72" s="206"/>
      <c r="G72" s="411" t="s">
        <v>196</v>
      </c>
      <c r="H72" s="921" t="str">
        <f>Translations!$B$683</f>
        <v>netvarios biomasės dalis:</v>
      </c>
      <c r="I72" s="300"/>
      <c r="J72" s="300"/>
      <c r="K72" s="300"/>
      <c r="L72" s="922" t="s">
        <v>261</v>
      </c>
      <c r="M72" s="923"/>
      <c r="O72" s="737"/>
      <c r="P72" s="23"/>
      <c r="Q72" s="1"/>
      <c r="R72" s="693"/>
      <c r="S72" s="23"/>
      <c r="T72" s="23"/>
      <c r="U72" s="23"/>
      <c r="V72" s="23"/>
      <c r="W72" s="23"/>
      <c r="X72" s="23"/>
      <c r="Y72" s="23"/>
      <c r="Z72" s="23"/>
      <c r="AA72" s="23"/>
      <c r="AB72" s="23"/>
      <c r="AC72" s="23"/>
      <c r="AD72" s="23"/>
      <c r="AE72" s="23"/>
      <c r="AF72" s="23"/>
      <c r="AG72" s="23"/>
      <c r="AH72" s="23"/>
      <c r="AI72" s="23"/>
      <c r="AJ72" s="23"/>
      <c r="AK72" s="23"/>
      <c r="AL72" s="26" t="b">
        <f>AL71</f>
        <v>1</v>
      </c>
    </row>
    <row r="73" spans="1:38" s="391" customFormat="1" ht="12.75" hidden="1" customHeight="1">
      <c r="A73" s="809"/>
      <c r="B73" s="837"/>
      <c r="E73" s="22" t="str">
        <f>Translations!$B$684</f>
        <v>VAP:</v>
      </c>
      <c r="F73" s="691" t="str">
        <f>IF(OR(G57="",F74&lt;&gt;""),"",IF(T57=2,298,1))</f>
        <v/>
      </c>
      <c r="G73" s="411" t="s">
        <v>197</v>
      </c>
      <c r="H73" s="406" t="str">
        <f>Translations!$B$695</f>
        <v>Veikimo valandos:</v>
      </c>
      <c r="I73" s="407"/>
      <c r="J73" s="407"/>
      <c r="K73" s="407"/>
      <c r="L73" s="688" t="str">
        <f>EUconst_hpa</f>
        <v>val./metai</v>
      </c>
      <c r="M73" s="848"/>
      <c r="O73" s="737"/>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1" customFormat="1" ht="12.75" hidden="1" customHeight="1" thickBot="1">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1" customFormat="1" ht="12.75" hidden="1" customHeight="1" thickBot="1">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1" customFormat="1" ht="4.5" hidden="1" customHeight="1">
      <c r="A76" s="809"/>
      <c r="B76" s="837"/>
      <c r="D76" s="826"/>
      <c r="E76" s="206"/>
      <c r="F76" s="206"/>
      <c r="G76" s="206"/>
      <c r="H76" s="206"/>
      <c r="I76" s="206"/>
      <c r="J76" s="206"/>
      <c r="K76" s="206"/>
      <c r="L76" s="206"/>
      <c r="M76" s="6"/>
      <c r="O76" s="737"/>
      <c r="P76" s="23"/>
      <c r="Q76" s="23"/>
      <c r="R76" s="693"/>
      <c r="S76" s="23"/>
      <c r="T76" s="23"/>
      <c r="U76" s="23"/>
      <c r="V76" s="23"/>
      <c r="W76" s="23"/>
      <c r="X76" s="23"/>
      <c r="Y76" s="23"/>
      <c r="Z76" s="23"/>
      <c r="AA76" s="23"/>
      <c r="AB76" s="23"/>
      <c r="AC76" s="23"/>
      <c r="AD76" s="23"/>
      <c r="AE76" s="23"/>
      <c r="AF76" s="23"/>
      <c r="AG76" s="23"/>
      <c r="AH76" s="23"/>
      <c r="AI76" s="23"/>
      <c r="AJ76" s="23"/>
      <c r="AK76" s="23"/>
      <c r="AL76" s="23"/>
    </row>
    <row r="77" spans="1:38" s="391" customFormat="1" ht="12.75" hidden="1" customHeight="1" thickBot="1">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3"/>
      <c r="Q77" s="23"/>
      <c r="R77" s="693"/>
      <c r="S77" s="23"/>
      <c r="T77" s="23"/>
      <c r="U77" s="23"/>
      <c r="V77" s="23"/>
      <c r="W77" s="23"/>
      <c r="X77" s="23"/>
      <c r="Y77" s="23"/>
      <c r="Z77" s="23"/>
      <c r="AA77" s="23"/>
      <c r="AB77" s="23"/>
      <c r="AC77" s="23"/>
      <c r="AD77" s="23"/>
      <c r="AE77" s="23"/>
      <c r="AF77" s="23"/>
      <c r="AG77" s="23"/>
      <c r="AH77" s="23"/>
      <c r="AI77" s="23"/>
      <c r="AJ77" s="23"/>
      <c r="AK77" s="23"/>
      <c r="AL77" s="23"/>
    </row>
    <row r="78" spans="1:38" s="391" customFormat="1" ht="5.0999999999999996" hidden="1" customHeight="1">
      <c r="A78" s="809"/>
      <c r="B78" s="837"/>
      <c r="D78" s="826"/>
      <c r="E78" s="206"/>
      <c r="F78" s="206"/>
      <c r="G78" s="206"/>
      <c r="H78" s="206"/>
      <c r="I78" s="206"/>
      <c r="J78" s="206"/>
      <c r="K78" s="206"/>
      <c r="L78" s="206"/>
      <c r="M78" s="206"/>
      <c r="N78" s="206"/>
      <c r="O78" s="737"/>
      <c r="P78" s="23"/>
      <c r="Q78" s="23"/>
      <c r="R78" s="693"/>
      <c r="S78" s="23"/>
      <c r="T78" s="23"/>
      <c r="U78" s="23"/>
      <c r="V78" s="23"/>
      <c r="W78" s="23"/>
      <c r="X78" s="23"/>
      <c r="Y78" s="23"/>
      <c r="Z78" s="23"/>
      <c r="AA78" s="23"/>
      <c r="AB78" s="23"/>
      <c r="AC78" s="23"/>
      <c r="AD78" s="23"/>
      <c r="AE78" s="23"/>
      <c r="AF78" s="23"/>
      <c r="AG78" s="23"/>
      <c r="AH78" s="23"/>
      <c r="AI78" s="23"/>
      <c r="AJ78" s="23"/>
      <c r="AK78" s="23"/>
      <c r="AL78" s="23"/>
    </row>
    <row r="79" spans="1:38" s="391" customFormat="1" ht="12.75" hidden="1" customHeight="1">
      <c r="A79" s="809"/>
      <c r="B79" s="837"/>
      <c r="D79" s="9" t="s">
        <v>2</v>
      </c>
      <c r="E79" s="1391" t="str">
        <f>Translations!$B$700</f>
        <v>Perduotasis / būdingasis CO2</v>
      </c>
      <c r="F79" s="1391"/>
      <c r="G79" s="1391"/>
      <c r="H79" s="1391"/>
      <c r="I79" s="1391"/>
      <c r="J79" s="1391"/>
      <c r="K79" s="1391"/>
      <c r="L79" s="1391"/>
      <c r="M79" s="1391"/>
      <c r="N79" s="1391"/>
      <c r="O79" s="737"/>
      <c r="P79" s="690"/>
      <c r="Q79" s="23"/>
      <c r="R79" s="23"/>
      <c r="S79" s="23"/>
      <c r="T79" s="23"/>
      <c r="U79" s="23"/>
      <c r="V79" s="23"/>
      <c r="W79" s="23"/>
      <c r="X79" s="23"/>
      <c r="Y79" s="23"/>
      <c r="Z79" s="23"/>
      <c r="AA79" s="23"/>
      <c r="AB79" s="23"/>
      <c r="AC79" s="23"/>
      <c r="AD79" s="23"/>
      <c r="AE79" s="23"/>
      <c r="AF79" s="23"/>
      <c r="AG79" s="23"/>
      <c r="AH79" s="23"/>
      <c r="AI79" s="23"/>
      <c r="AJ79" s="23"/>
      <c r="AK79" s="23"/>
      <c r="AL79" s="23"/>
    </row>
    <row r="80" spans="1:38" s="391" customFormat="1" ht="5.0999999999999996" hidden="1" customHeight="1">
      <c r="A80" s="809"/>
      <c r="B80" s="837"/>
      <c r="D80" s="9"/>
      <c r="E80" s="49"/>
      <c r="F80" s="49"/>
      <c r="G80" s="49"/>
      <c r="H80" s="49"/>
      <c r="I80" s="49"/>
      <c r="J80" s="49"/>
      <c r="K80" s="49"/>
      <c r="L80" s="49"/>
      <c r="M80" s="49"/>
      <c r="N80" s="49"/>
      <c r="O80" s="73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1" customFormat="1" ht="12.75" hidden="1" customHeight="1">
      <c r="A81" s="809"/>
      <c r="B81" s="837"/>
      <c r="D81" s="411" t="s">
        <v>4</v>
      </c>
      <c r="E81" s="413" t="str">
        <f>Translations!$B$170</f>
        <v>Įrenginio pavadinimas</v>
      </c>
      <c r="F81" s="390"/>
      <c r="G81" s="390"/>
      <c r="H81" s="390"/>
      <c r="I81" s="1582"/>
      <c r="J81" s="1582"/>
      <c r="K81" s="1582"/>
      <c r="L81" s="1582"/>
      <c r="M81" s="1582"/>
      <c r="N81" s="1582"/>
      <c r="O81" s="737"/>
      <c r="P81" s="23"/>
      <c r="Q81" s="1107"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1" customFormat="1" ht="12.75" hidden="1" customHeight="1">
      <c r="A82" s="809"/>
      <c r="B82" s="837"/>
      <c r="D82" s="411" t="s">
        <v>5</v>
      </c>
      <c r="E82" s="413" t="str">
        <f>Translations!$B$79</f>
        <v>Veiklos vykdytojo pavadinimas</v>
      </c>
      <c r="F82" s="390"/>
      <c r="G82" s="390"/>
      <c r="H82" s="390"/>
      <c r="I82" s="1582"/>
      <c r="J82" s="1582"/>
      <c r="K82" s="1582"/>
      <c r="L82" s="1582"/>
      <c r="M82" s="1582"/>
      <c r="N82" s="1582"/>
      <c r="O82" s="737"/>
      <c r="P82" s="23"/>
      <c r="Q82" s="1107"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1" customFormat="1" ht="12.75" hidden="1" customHeight="1">
      <c r="A83" s="809"/>
      <c r="B83" s="837"/>
      <c r="D83" s="411" t="s">
        <v>196</v>
      </c>
      <c r="E83" s="413" t="str">
        <f>Translations!$B$171</f>
        <v>Įrenginio unikalus ID</v>
      </c>
      <c r="F83" s="390"/>
      <c r="G83" s="390"/>
      <c r="H83" s="390"/>
      <c r="I83" s="1582"/>
      <c r="J83" s="1582"/>
      <c r="K83" s="1582"/>
      <c r="L83" s="1582"/>
      <c r="M83" s="1582"/>
      <c r="N83" s="1582"/>
      <c r="O83" s="737"/>
      <c r="P83" s="23"/>
      <c r="Q83" s="1107"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1" customFormat="1" ht="12.75" hidden="1" customHeight="1">
      <c r="A84" s="809"/>
      <c r="B84" s="837"/>
      <c r="D84" s="411" t="s">
        <v>197</v>
      </c>
      <c r="E84" s="413" t="str">
        <f>Translations!$B$169</f>
        <v>Perdavimo tipas</v>
      </c>
      <c r="F84" s="390"/>
      <c r="G84" s="390"/>
      <c r="H84" s="390"/>
      <c r="I84" s="1582"/>
      <c r="J84" s="1582"/>
      <c r="K84" s="1582"/>
      <c r="L84" s="1582"/>
      <c r="M84" s="1582"/>
      <c r="N84" s="1582"/>
      <c r="O84" s="73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1" customFormat="1" ht="5.0999999999999996" hidden="1" customHeight="1">
      <c r="A85" s="809"/>
      <c r="B85" s="837"/>
      <c r="D85" s="9"/>
      <c r="E85" s="49"/>
      <c r="F85" s="49"/>
      <c r="G85" s="49"/>
      <c r="H85" s="49"/>
      <c r="I85" s="49"/>
      <c r="J85" s="49"/>
      <c r="K85" s="49"/>
      <c r="L85" s="49"/>
      <c r="M85" s="49"/>
      <c r="N85" s="49"/>
      <c r="O85" s="73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1" customFormat="1" ht="5.0999999999999996" hidden="1" customHeight="1">
      <c r="A86" s="809"/>
      <c r="B86" s="837"/>
      <c r="D86" s="9"/>
      <c r="E86" s="49"/>
      <c r="F86" s="49"/>
      <c r="G86" s="49"/>
      <c r="H86" s="49"/>
      <c r="I86" s="49"/>
      <c r="J86" s="49"/>
      <c r="K86" s="49"/>
      <c r="L86" s="49"/>
      <c r="M86" s="49"/>
      <c r="N86" s="49"/>
      <c r="O86" s="73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1" customFormat="1" ht="12.75" hidden="1" customHeight="1">
      <c r="A87" s="809"/>
      <c r="B87" s="837"/>
      <c r="E87" s="1589" t="str">
        <f>Translations!$B$701</f>
        <v>Pastabos (pvz., patvirtinamųjų skaičiavimų aprašas arba ar trūksta didelės duomenų dalies):</v>
      </c>
      <c r="F87" s="1589"/>
      <c r="G87" s="1589"/>
      <c r="H87" s="1589"/>
      <c r="I87" s="1589"/>
      <c r="J87" s="1589"/>
      <c r="K87" s="1589"/>
      <c r="L87" s="1589"/>
      <c r="M87" s="1589"/>
      <c r="N87" s="1589"/>
      <c r="O87" s="73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1" customFormat="1" ht="12.75" hidden="1" customHeight="1">
      <c r="A88" s="809"/>
      <c r="B88" s="837"/>
      <c r="D88" s="10"/>
      <c r="E88" s="1583"/>
      <c r="F88" s="1584"/>
      <c r="G88" s="1584"/>
      <c r="H88" s="1584"/>
      <c r="I88" s="1584"/>
      <c r="J88" s="1584"/>
      <c r="K88" s="1584"/>
      <c r="L88" s="1584"/>
      <c r="M88" s="1584"/>
      <c r="N88" s="1585"/>
      <c r="O88" s="73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1" customFormat="1" ht="12.75" hidden="1" customHeight="1">
      <c r="A89" s="809"/>
      <c r="B89" s="837"/>
      <c r="D89" s="10"/>
      <c r="E89" s="1586"/>
      <c r="F89" s="1587"/>
      <c r="G89" s="1587"/>
      <c r="H89" s="1587"/>
      <c r="I89" s="1587"/>
      <c r="J89" s="1587"/>
      <c r="K89" s="1587"/>
      <c r="L89" s="1587"/>
      <c r="M89" s="1587"/>
      <c r="N89" s="1588"/>
      <c r="O89" s="73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hidden="1" customHeight="1" thickBot="1">
      <c r="A90" s="765"/>
      <c r="B90" s="793"/>
      <c r="C90" s="36"/>
      <c r="D90" s="37"/>
      <c r="E90" s="38"/>
      <c r="F90" s="36"/>
      <c r="G90" s="39"/>
      <c r="H90" s="39"/>
      <c r="I90" s="39"/>
      <c r="J90" s="39"/>
      <c r="K90" s="39"/>
      <c r="L90" s="39"/>
      <c r="M90" s="39"/>
      <c r="N90" s="39"/>
      <c r="O90" s="736"/>
      <c r="P90" s="1"/>
      <c r="S90" s="235"/>
      <c r="AK90" s="23"/>
    </row>
    <row r="91" spans="1:38" ht="12.75" hidden="1" customHeight="1" thickBot="1">
      <c r="A91" s="765"/>
      <c r="B91" s="836"/>
      <c r="C91" s="206"/>
      <c r="D91" s="6"/>
      <c r="E91" s="245"/>
      <c r="F91" s="245"/>
      <c r="G91" s="245"/>
      <c r="H91" s="245"/>
      <c r="I91" s="245"/>
      <c r="J91" s="245"/>
      <c r="K91" s="245"/>
      <c r="L91" s="245"/>
      <c r="M91" s="5"/>
      <c r="N91" s="5"/>
      <c r="O91" s="737"/>
      <c r="P91" s="1"/>
      <c r="Q91" s="23"/>
      <c r="R91" s="23"/>
      <c r="S91" s="23"/>
      <c r="V91" s="23"/>
      <c r="W91" s="23"/>
      <c r="X91" s="27" t="s">
        <v>492</v>
      </c>
      <c r="Y91" s="23"/>
      <c r="Z91" s="23"/>
      <c r="AA91" s="23"/>
      <c r="AB91" s="23"/>
      <c r="AC91" s="23"/>
      <c r="AD91" s="23"/>
      <c r="AE91" s="23"/>
      <c r="AF91" s="23"/>
      <c r="AG91" s="23"/>
      <c r="AH91" s="23"/>
      <c r="AI91" s="23"/>
      <c r="AJ91" s="23"/>
    </row>
    <row r="92" spans="1:38" s="142" customFormat="1" ht="15" hidden="1" customHeight="1" thickBot="1">
      <c r="A92" s="766"/>
      <c r="B92" s="790"/>
      <c r="C92" s="400">
        <f>C57+1</f>
        <v>3</v>
      </c>
      <c r="D92" s="401"/>
      <c r="E92" s="1545" t="str">
        <f>IF(ISBLANK(G92),"",IF(INDEX(B_InstallationDescription!$M$156:$M$165,MATCH(S92,B_InstallationDescription!$E$156:$E$165,0))&gt;0,INDEX(B_InstallationDescription!$M$156:$M$165,MATCH(S92,B_InstallationDescription!$E$156:$E$165,0)),""))</f>
        <v/>
      </c>
      <c r="F92" s="1546"/>
      <c r="G92" s="1542"/>
      <c r="H92" s="1543"/>
      <c r="I92" s="1543"/>
      <c r="J92" s="1544"/>
      <c r="M92" s="347" t="str">
        <f>Translations!$B$686</f>
        <v>Bendras deginant iškastinį kurą išmestas ŠESD kiekis:</v>
      </c>
      <c r="N92" s="1038" t="str">
        <f>IF(G92="","",M104*M108*M109*10^-3*(1-M106)*S119*R110)</f>
        <v/>
      </c>
      <c r="O92" s="741" t="s">
        <v>260</v>
      </c>
      <c r="P92" s="1"/>
      <c r="Q92" s="352" t="str">
        <f>EUconst_SumCO2 &amp; "_" &amp;E92</f>
        <v>SUM_CO2_</v>
      </c>
      <c r="R92" s="27" t="str">
        <f>IF(ISBLANK(G92),"",MATCH(G92,CNTR_MeasurementPoints,0))</f>
        <v/>
      </c>
      <c r="S92" s="27"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0"/>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0"/>
      <c r="AL92" s="32" t="b">
        <f>CNTR_MeasurementRelevant=EUconst_NotRelevant</f>
        <v>1</v>
      </c>
    </row>
    <row r="93" spans="1:38" s="391" customFormat="1" ht="15" hidden="1" customHeight="1" thickBot="1">
      <c r="A93" s="765"/>
      <c r="B93" s="789"/>
      <c r="C93" s="5"/>
      <c r="I93" s="24"/>
      <c r="J93" s="5"/>
      <c r="K93" s="5"/>
      <c r="L93" s="5"/>
      <c r="M93" s="346" t="str">
        <f>Translations!$B$687</f>
        <v>Bendras deginant biomasę išmestas ŠESD kiekis:</v>
      </c>
      <c r="N93" s="1037" t="str">
        <f>IF(G92="","",M104*M108*M109*10^-3*(M106)*S119*R110)</f>
        <v/>
      </c>
      <c r="O93" s="742" t="s">
        <v>260</v>
      </c>
      <c r="P93" s="1"/>
      <c r="Q93" s="353" t="str">
        <f>EUconst_SumBioCO2 &amp; "_" &amp; E92</f>
        <v>SUM_bioCO2_</v>
      </c>
      <c r="R93" s="23"/>
      <c r="S93" s="23"/>
      <c r="T93" s="23"/>
      <c r="U93" s="23"/>
      <c r="V93" s="23"/>
      <c r="W93" s="23"/>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3"/>
      <c r="AL93" s="23"/>
    </row>
    <row r="94" spans="1:38" ht="13.5" hidden="1" thickBot="1">
      <c r="A94" s="765"/>
      <c r="B94" s="1053"/>
      <c r="C94" s="832"/>
      <c r="D94" s="833"/>
      <c r="E94" s="831"/>
      <c r="F94" s="831"/>
      <c r="G94" s="831"/>
      <c r="H94" s="831"/>
      <c r="I94" s="831"/>
      <c r="J94" s="831"/>
      <c r="K94" s="831"/>
      <c r="L94" s="831"/>
      <c r="M94" s="831"/>
      <c r="N94" s="831"/>
      <c r="O94" s="736"/>
      <c r="P94" s="1"/>
      <c r="Q94" s="352" t="str">
        <f>EUconst_SumNonSustBioCO2 &amp; "_" &amp; K91</f>
        <v>SUM_bioNonSustCO2_</v>
      </c>
      <c r="R94" s="707" t="str">
        <f>IF(G92="","",ROUND(M104*M108*M109*10^-3*(1-M106)*M107*S119*R110,0))</f>
        <v/>
      </c>
      <c r="Y94" s="23"/>
      <c r="Z94" s="23"/>
      <c r="AA94" s="23"/>
      <c r="AB94" s="23"/>
      <c r="AC94" s="23"/>
      <c r="AD94" s="23"/>
      <c r="AE94" s="23"/>
      <c r="AF94" s="23"/>
      <c r="AG94" s="23"/>
      <c r="AH94" s="23"/>
      <c r="AI94" s="23"/>
      <c r="AJ94" s="23"/>
      <c r="AK94" s="23"/>
      <c r="AL94" s="23"/>
    </row>
    <row r="95" spans="1:38" ht="13.5" hidden="1" thickBot="1">
      <c r="A95" s="765"/>
      <c r="B95" s="1053"/>
      <c r="C95" s="832"/>
      <c r="D95" s="833"/>
      <c r="E95" s="831"/>
      <c r="F95" s="831"/>
      <c r="G95" s="831"/>
      <c r="H95" s="831"/>
      <c r="I95" s="831"/>
      <c r="J95" s="831"/>
      <c r="K95" s="831"/>
      <c r="L95" s="831"/>
      <c r="M95" s="503" t="str">
        <f>Translations!$B$688</f>
        <v>Bendra iškastinio kuro energetinė vertė:</v>
      </c>
      <c r="N95" s="1092"/>
      <c r="O95" s="925" t="s">
        <v>282</v>
      </c>
      <c r="P95" s="1"/>
      <c r="Q95" s="352" t="str">
        <f>EUconst_SumEnergyIN &amp; "_" &amp; K91</f>
        <v>SUM_EnergyIN_</v>
      </c>
      <c r="R95" s="707">
        <f>N95</f>
        <v>0</v>
      </c>
      <c r="Y95" s="23"/>
      <c r="Z95" s="23"/>
      <c r="AA95" s="23"/>
      <c r="AB95" s="23"/>
      <c r="AC95" s="23"/>
      <c r="AD95" s="23"/>
      <c r="AE95" s="23"/>
      <c r="AF95" s="23"/>
      <c r="AG95" s="23"/>
      <c r="AH95" s="23"/>
      <c r="AI95" s="23"/>
      <c r="AJ95" s="23"/>
      <c r="AK95" s="23"/>
      <c r="AL95" s="32" t="b">
        <f>AL100</f>
        <v>1</v>
      </c>
    </row>
    <row r="96" spans="1:38" ht="8.25" hidden="1" customHeight="1" thickBot="1">
      <c r="A96" s="765"/>
      <c r="B96" s="1053"/>
      <c r="C96" s="832"/>
      <c r="D96" s="833"/>
      <c r="E96" s="831"/>
      <c r="F96" s="831"/>
      <c r="G96" s="831"/>
      <c r="H96" s="831"/>
      <c r="I96" s="831"/>
      <c r="J96" s="831"/>
      <c r="K96" s="831"/>
      <c r="L96" s="831"/>
      <c r="M96" s="346" t="str">
        <f>Translations!$B$689</f>
        <v>Bendra biomasės energetinė vertė:</v>
      </c>
      <c r="N96" s="1093"/>
      <c r="O96" s="914" t="s">
        <v>282</v>
      </c>
      <c r="P96" s="1"/>
      <c r="Q96" s="352" t="str">
        <f>EUconst_SumBioEnergyIN &amp; "_" &amp; K91</f>
        <v>SUM_BioEnergyIN_</v>
      </c>
      <c r="R96" s="707">
        <f>N96</f>
        <v>0</v>
      </c>
      <c r="Y96" s="23"/>
      <c r="Z96" s="23"/>
      <c r="AA96" s="23"/>
      <c r="AB96" s="23"/>
      <c r="AC96" s="23"/>
      <c r="AD96" s="23"/>
      <c r="AE96" s="23"/>
      <c r="AF96" s="23"/>
      <c r="AG96" s="23"/>
      <c r="AH96" s="23"/>
      <c r="AI96" s="23"/>
      <c r="AJ96" s="23"/>
      <c r="AK96" s="23"/>
      <c r="AL96" s="32" t="b">
        <f>AL95</f>
        <v>1</v>
      </c>
    </row>
    <row r="97" spans="1:38" s="391" customFormat="1" ht="4.5" hidden="1" customHeight="1">
      <c r="A97" s="809"/>
      <c r="B97" s="837"/>
      <c r="D97" s="153"/>
      <c r="K97" s="12"/>
      <c r="L97" s="12"/>
      <c r="M97" s="12"/>
      <c r="N97" s="12"/>
      <c r="O97" s="756"/>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1" customFormat="1" ht="12.75" hidden="1" customHeight="1">
      <c r="A98" s="809"/>
      <c r="B98" s="837"/>
      <c r="D98" s="9" t="s">
        <v>1</v>
      </c>
      <c r="E98" s="1391" t="str">
        <f>Translations!$B$690</f>
        <v>Skaičiavimai</v>
      </c>
      <c r="F98" s="1391"/>
      <c r="G98" s="1391"/>
      <c r="H98" s="1391"/>
      <c r="I98" s="1391"/>
      <c r="J98" s="1391"/>
      <c r="K98" s="1391"/>
      <c r="L98" s="1391"/>
      <c r="M98" s="1391"/>
      <c r="N98" s="1391"/>
      <c r="O98" s="756"/>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1" customFormat="1" ht="4.5" hidden="1" customHeight="1">
      <c r="A99" s="809"/>
      <c r="B99" s="837"/>
      <c r="D99" s="153"/>
      <c r="K99" s="12"/>
      <c r="L99" s="12"/>
      <c r="M99" s="12"/>
      <c r="N99" s="12"/>
      <c r="O99" s="756"/>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1" customFormat="1" ht="12.75" hidden="1" customHeight="1" thickBot="1">
      <c r="A100" s="809"/>
      <c r="B100" s="837"/>
      <c r="D100" s="9"/>
      <c r="E100" s="408" t="str">
        <f>Translations!$B$691</f>
        <v>Informacija apie susijusius sukėliklius, jeigu taikytina:</v>
      </c>
      <c r="F100" s="408"/>
      <c r="G100" s="408"/>
      <c r="H100" s="408"/>
      <c r="I100" s="408"/>
      <c r="J100" s="1590" t="str">
        <f>Translations!$B$692</f>
        <v>Patvirtinamųjų skaičiavimų rezultatas (iškastinis kuras):</v>
      </c>
      <c r="K100" s="1590"/>
      <c r="L100" s="1590"/>
      <c r="M100" s="1590"/>
      <c r="N100" s="1251"/>
      <c r="O100" s="73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1" customFormat="1" hidden="1">
      <c r="A101" s="809"/>
      <c r="B101" s="837"/>
      <c r="D101" s="9"/>
      <c r="E101" s="1591"/>
      <c r="F101" s="1592"/>
      <c r="G101" s="1592"/>
      <c r="H101" s="1592"/>
      <c r="I101" s="1593"/>
      <c r="J101" s="1590" t="str">
        <f>Translations!$B$693</f>
        <v>Patvirtinamųjų skaičiavimų rezultatas (biomasė):</v>
      </c>
      <c r="K101" s="1590"/>
      <c r="L101" s="1590"/>
      <c r="M101" s="1590"/>
      <c r="N101" s="1252"/>
      <c r="O101" s="737"/>
      <c r="P101" s="690"/>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1" customFormat="1" ht="4.5" hidden="1" customHeight="1">
      <c r="A102" s="809"/>
      <c r="B102" s="837"/>
      <c r="D102" s="9"/>
      <c r="E102" s="49"/>
      <c r="F102" s="49"/>
      <c r="G102" s="49"/>
      <c r="H102" s="49"/>
      <c r="I102" s="49"/>
      <c r="J102" s="49"/>
      <c r="K102" s="49"/>
      <c r="L102" s="49"/>
      <c r="M102" s="49"/>
      <c r="N102" s="49"/>
      <c r="O102" s="73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1" customFormat="1" ht="12.75" hidden="1" customHeight="1">
      <c r="A103" s="809"/>
      <c r="B103" s="837"/>
      <c r="I103" s="49"/>
      <c r="J103" s="49"/>
      <c r="K103" s="49"/>
      <c r="L103" s="825" t="str">
        <f>EUconst_Unit</f>
        <v>Vienetas</v>
      </c>
      <c r="M103" s="825"/>
      <c r="O103" s="737"/>
      <c r="P103" s="690"/>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1" customFormat="1" ht="12.75" hidden="1" customHeight="1" thickBot="1">
      <c r="A104" s="809"/>
      <c r="B104" s="837"/>
      <c r="E104" s="21"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1" customFormat="1" ht="12.75" hidden="1" customHeight="1">
      <c r="A105" s="809"/>
      <c r="B105" s="837"/>
      <c r="F105" s="481" t="str">
        <f>IF(OR(ISBLANK(F104),F104=EUconst_NoTier),"",IF(R106=EUconst_NA,EUconst_NA,IF(ISERROR(R106),"",R106)))</f>
        <v/>
      </c>
      <c r="G105" s="411"/>
      <c r="H105" s="404"/>
      <c r="I105" s="390"/>
      <c r="J105" s="390"/>
      <c r="K105" s="390"/>
      <c r="M105" s="153"/>
      <c r="O105" s="737"/>
      <c r="P105" s="23"/>
      <c r="Q105" s="1"/>
      <c r="R105" s="693"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1" customFormat="1" ht="12.75" hidden="1" customHeight="1">
      <c r="A106" s="809"/>
      <c r="B106" s="837"/>
      <c r="D106" s="206"/>
      <c r="G106" s="411" t="s">
        <v>5</v>
      </c>
      <c r="H106" s="404" t="str">
        <f>Translations!$B$682</f>
        <v>Biomasės dalis:</v>
      </c>
      <c r="I106" s="298"/>
      <c r="J106" s="298"/>
      <c r="K106" s="298"/>
      <c r="L106" s="843" t="s">
        <v>261</v>
      </c>
      <c r="M106" s="844"/>
      <c r="O106" s="737"/>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1" customFormat="1" ht="12.75" hidden="1" customHeight="1">
      <c r="A107" s="809"/>
      <c r="B107" s="837"/>
      <c r="D107" s="206"/>
      <c r="G107" s="411" t="s">
        <v>196</v>
      </c>
      <c r="H107" s="921" t="str">
        <f>Translations!$B$683</f>
        <v>netvarios biomasės dalis:</v>
      </c>
      <c r="I107" s="300"/>
      <c r="J107" s="300"/>
      <c r="K107" s="300"/>
      <c r="L107" s="922" t="s">
        <v>261</v>
      </c>
      <c r="M107" s="923"/>
      <c r="O107" s="737"/>
      <c r="P107" s="23"/>
      <c r="Q107" s="1"/>
      <c r="R107" s="693"/>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1" customFormat="1" ht="12.75" hidden="1" customHeight="1">
      <c r="A108" s="809"/>
      <c r="B108" s="837"/>
      <c r="E108" s="22"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1" customFormat="1" ht="12.75" hidden="1" customHeight="1" thickBot="1">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1" customFormat="1" ht="12.75" hidden="1" customHeight="1" thickBot="1">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1" customFormat="1" ht="4.5" hidden="1" customHeight="1">
      <c r="A111" s="809"/>
      <c r="B111" s="837"/>
      <c r="D111" s="826"/>
      <c r="E111" s="206"/>
      <c r="F111" s="206"/>
      <c r="G111" s="206"/>
      <c r="H111" s="206"/>
      <c r="I111" s="206"/>
      <c r="J111" s="206"/>
      <c r="K111" s="206"/>
      <c r="L111" s="206"/>
      <c r="M111" s="6"/>
      <c r="O111" s="737"/>
      <c r="P111" s="23"/>
      <c r="Q111" s="23"/>
      <c r="R111" s="693"/>
      <c r="S111" s="23"/>
      <c r="T111" s="23"/>
      <c r="U111" s="23"/>
      <c r="V111" s="23"/>
      <c r="W111" s="23"/>
      <c r="X111" s="23"/>
      <c r="Y111" s="23"/>
      <c r="Z111" s="23"/>
      <c r="AA111" s="23"/>
      <c r="AB111" s="23"/>
      <c r="AC111" s="23"/>
      <c r="AD111" s="23"/>
      <c r="AE111" s="23"/>
      <c r="AF111" s="23"/>
      <c r="AG111" s="23"/>
      <c r="AH111" s="23"/>
      <c r="AI111" s="23"/>
      <c r="AJ111" s="23"/>
      <c r="AK111" s="23"/>
      <c r="AL111" s="23"/>
    </row>
    <row r="112" spans="1:38" s="391" customFormat="1" ht="12.75" hidden="1" customHeight="1" thickBot="1">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3"/>
      <c r="Q112" s="23"/>
      <c r="R112" s="693"/>
      <c r="S112" s="23"/>
      <c r="T112" s="23"/>
      <c r="U112" s="23"/>
      <c r="V112" s="23"/>
      <c r="W112" s="23"/>
      <c r="X112" s="23"/>
      <c r="Y112" s="23"/>
      <c r="Z112" s="23"/>
      <c r="AA112" s="23"/>
      <c r="AB112" s="23"/>
      <c r="AC112" s="23"/>
      <c r="AD112" s="23"/>
      <c r="AE112" s="23"/>
      <c r="AF112" s="23"/>
      <c r="AG112" s="23"/>
      <c r="AH112" s="23"/>
      <c r="AI112" s="23"/>
      <c r="AJ112" s="23"/>
      <c r="AK112" s="23"/>
      <c r="AL112" s="23"/>
    </row>
    <row r="113" spans="1:38" s="391" customFormat="1" ht="5.0999999999999996" hidden="1" customHeight="1">
      <c r="A113" s="809"/>
      <c r="B113" s="837"/>
      <c r="D113" s="826"/>
      <c r="E113" s="206"/>
      <c r="F113" s="206"/>
      <c r="G113" s="206"/>
      <c r="H113" s="206"/>
      <c r="I113" s="206"/>
      <c r="J113" s="206"/>
      <c r="K113" s="206"/>
      <c r="L113" s="206"/>
      <c r="M113" s="206"/>
      <c r="N113" s="206"/>
      <c r="O113" s="737"/>
      <c r="P113" s="23"/>
      <c r="Q113" s="23"/>
      <c r="R113" s="693"/>
      <c r="S113" s="23"/>
      <c r="T113" s="23"/>
      <c r="U113" s="23"/>
      <c r="V113" s="23"/>
      <c r="W113" s="23"/>
      <c r="X113" s="23"/>
      <c r="Y113" s="23"/>
      <c r="Z113" s="23"/>
      <c r="AA113" s="23"/>
      <c r="AB113" s="23"/>
      <c r="AC113" s="23"/>
      <c r="AD113" s="23"/>
      <c r="AE113" s="23"/>
      <c r="AF113" s="23"/>
      <c r="AG113" s="23"/>
      <c r="AH113" s="23"/>
      <c r="AI113" s="23"/>
      <c r="AJ113" s="23"/>
      <c r="AK113" s="23"/>
      <c r="AL113" s="23"/>
    </row>
    <row r="114" spans="1:38" s="391" customFormat="1" ht="12.75" hidden="1" customHeight="1">
      <c r="A114" s="809"/>
      <c r="B114" s="837"/>
      <c r="D114" s="9" t="s">
        <v>2</v>
      </c>
      <c r="E114" s="1391" t="str">
        <f>Translations!$B$700</f>
        <v>Perduotasis / būdingasis CO2</v>
      </c>
      <c r="F114" s="1391"/>
      <c r="G114" s="1391"/>
      <c r="H114" s="1391"/>
      <c r="I114" s="1391"/>
      <c r="J114" s="1391"/>
      <c r="K114" s="1391"/>
      <c r="L114" s="1391"/>
      <c r="M114" s="1391"/>
      <c r="N114" s="1391"/>
      <c r="O114" s="737"/>
      <c r="P114" s="690"/>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1" customFormat="1" ht="4.5" hidden="1" customHeight="1">
      <c r="A115" s="809"/>
      <c r="B115" s="837"/>
      <c r="D115" s="9"/>
      <c r="E115" s="49"/>
      <c r="F115" s="49"/>
      <c r="G115" s="49"/>
      <c r="H115" s="49"/>
      <c r="I115" s="49"/>
      <c r="J115" s="49"/>
      <c r="K115" s="49"/>
      <c r="L115" s="49"/>
      <c r="M115" s="49"/>
      <c r="N115" s="49"/>
      <c r="O115" s="73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1" customFormat="1" ht="12.75" hidden="1" customHeight="1">
      <c r="A116" s="809"/>
      <c r="B116" s="837"/>
      <c r="D116" s="411" t="s">
        <v>4</v>
      </c>
      <c r="E116" s="413" t="str">
        <f>Translations!$B$170</f>
        <v>Įrenginio pavadinimas</v>
      </c>
      <c r="F116" s="390"/>
      <c r="G116" s="390"/>
      <c r="H116" s="390"/>
      <c r="I116" s="1594"/>
      <c r="J116" s="1582"/>
      <c r="K116" s="1582"/>
      <c r="L116" s="1582"/>
      <c r="M116" s="1582"/>
      <c r="N116" s="1582"/>
      <c r="O116" s="737"/>
      <c r="P116" s="23"/>
      <c r="Q116" s="1107"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1" customFormat="1" ht="12.75" hidden="1" customHeight="1">
      <c r="A117" s="809"/>
      <c r="B117" s="837"/>
      <c r="D117" s="411" t="s">
        <v>5</v>
      </c>
      <c r="E117" s="413" t="str">
        <f>Translations!$B$79</f>
        <v>Veiklos vykdytojo pavadinimas</v>
      </c>
      <c r="F117" s="390"/>
      <c r="G117" s="390"/>
      <c r="H117" s="390"/>
      <c r="I117" s="1594"/>
      <c r="J117" s="1582"/>
      <c r="K117" s="1582"/>
      <c r="L117" s="1582"/>
      <c r="M117" s="1582"/>
      <c r="N117" s="1582"/>
      <c r="O117" s="737"/>
      <c r="P117" s="23"/>
      <c r="Q117" s="1107"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1" customFormat="1" ht="12.75" hidden="1" customHeight="1">
      <c r="A118" s="809"/>
      <c r="B118" s="837"/>
      <c r="D118" s="411" t="s">
        <v>196</v>
      </c>
      <c r="E118" s="413" t="str">
        <f>Translations!$B$171</f>
        <v>Įrenginio unikalus ID</v>
      </c>
      <c r="F118" s="390"/>
      <c r="G118" s="390"/>
      <c r="H118" s="390"/>
      <c r="I118" s="1594"/>
      <c r="J118" s="1582"/>
      <c r="K118" s="1582"/>
      <c r="L118" s="1582"/>
      <c r="M118" s="1582"/>
      <c r="N118" s="1582"/>
      <c r="O118" s="737"/>
      <c r="P118" s="23"/>
      <c r="Q118" s="1107"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1" customFormat="1" ht="12.75" hidden="1" customHeight="1">
      <c r="A119" s="809"/>
      <c r="B119" s="837"/>
      <c r="D119" s="411" t="s">
        <v>197</v>
      </c>
      <c r="E119" s="413" t="str">
        <f>Translations!$B$169</f>
        <v>Perdavimo tipas</v>
      </c>
      <c r="F119" s="390"/>
      <c r="G119" s="390"/>
      <c r="H119" s="390"/>
      <c r="I119" s="1582"/>
      <c r="J119" s="1582"/>
      <c r="K119" s="1582"/>
      <c r="L119" s="1582"/>
      <c r="M119" s="1582"/>
      <c r="N119" s="1582"/>
      <c r="O119" s="73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1" customFormat="1" ht="4.5" hidden="1" customHeight="1">
      <c r="A120" s="809"/>
      <c r="B120" s="837"/>
      <c r="D120" s="9"/>
      <c r="E120" s="49"/>
      <c r="F120" s="49"/>
      <c r="G120" s="49"/>
      <c r="H120" s="49"/>
      <c r="I120" s="49"/>
      <c r="J120" s="49"/>
      <c r="K120" s="49"/>
      <c r="L120" s="49"/>
      <c r="M120" s="49"/>
      <c r="N120" s="49"/>
      <c r="O120" s="73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1" customFormat="1" ht="5.0999999999999996" hidden="1" customHeight="1">
      <c r="A121" s="809"/>
      <c r="B121" s="837"/>
      <c r="D121" s="9"/>
      <c r="E121" s="49"/>
      <c r="F121" s="49"/>
      <c r="G121" s="49"/>
      <c r="H121" s="49"/>
      <c r="I121" s="49"/>
      <c r="J121" s="49"/>
      <c r="K121" s="49"/>
      <c r="L121" s="49"/>
      <c r="M121" s="49"/>
      <c r="N121" s="49"/>
      <c r="O121" s="73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1" customFormat="1" ht="12.75" hidden="1" customHeight="1">
      <c r="A122" s="809"/>
      <c r="B122" s="837"/>
      <c r="E122" s="1589" t="str">
        <f>Translations!$B$701</f>
        <v>Pastabos (pvz., patvirtinamųjų skaičiavimų aprašas arba ar trūksta didelės duomenų dalies):</v>
      </c>
      <c r="F122" s="1589"/>
      <c r="G122" s="1589"/>
      <c r="H122" s="1589"/>
      <c r="I122" s="1589"/>
      <c r="J122" s="1589"/>
      <c r="K122" s="1589"/>
      <c r="L122" s="1589"/>
      <c r="M122" s="1589"/>
      <c r="N122" s="1589"/>
      <c r="O122" s="73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1" customFormat="1" ht="12.75" hidden="1" customHeight="1">
      <c r="A123" s="809"/>
      <c r="B123" s="837"/>
      <c r="D123" s="10"/>
      <c r="E123" s="1583"/>
      <c r="F123" s="1584"/>
      <c r="G123" s="1584"/>
      <c r="H123" s="1584"/>
      <c r="I123" s="1584"/>
      <c r="J123" s="1584"/>
      <c r="K123" s="1584"/>
      <c r="L123" s="1584"/>
      <c r="M123" s="1584"/>
      <c r="N123" s="1585"/>
      <c r="O123" s="73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1" customFormat="1" ht="11.25" hidden="1" customHeight="1">
      <c r="A124" s="809"/>
      <c r="B124" s="837"/>
      <c r="D124" s="10"/>
      <c r="E124" s="1586"/>
      <c r="F124" s="1587"/>
      <c r="G124" s="1587"/>
      <c r="H124" s="1587"/>
      <c r="I124" s="1587"/>
      <c r="J124" s="1587"/>
      <c r="K124" s="1587"/>
      <c r="L124" s="1587"/>
      <c r="M124" s="1587"/>
      <c r="N124" s="1588"/>
      <c r="O124" s="73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hidden="1" customHeight="1" thickBot="1">
      <c r="A125" s="765"/>
      <c r="B125" s="793"/>
      <c r="C125" s="36"/>
      <c r="D125" s="37"/>
      <c r="E125" s="38"/>
      <c r="F125" s="36"/>
      <c r="G125" s="39"/>
      <c r="H125" s="39"/>
      <c r="I125" s="39"/>
      <c r="J125" s="39"/>
      <c r="K125" s="39"/>
      <c r="L125" s="39"/>
      <c r="M125" s="39"/>
      <c r="N125" s="39"/>
      <c r="O125" s="736"/>
      <c r="P125" s="1"/>
      <c r="S125" s="235"/>
      <c r="AK125" s="23"/>
    </row>
    <row r="126" spans="1:38" ht="12.75" hidden="1" customHeight="1" thickBot="1">
      <c r="A126" s="765"/>
      <c r="B126" s="836"/>
      <c r="C126" s="206"/>
      <c r="D126" s="6"/>
      <c r="E126" s="245"/>
      <c r="F126" s="245"/>
      <c r="G126" s="245"/>
      <c r="H126" s="245"/>
      <c r="I126" s="245"/>
      <c r="J126" s="245"/>
      <c r="K126" s="245"/>
      <c r="L126" s="245"/>
      <c r="M126" s="5"/>
      <c r="N126" s="5"/>
      <c r="O126" s="737"/>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hidden="1" customHeight="1" thickBot="1">
      <c r="A127" s="766"/>
      <c r="B127" s="790"/>
      <c r="C127" s="400">
        <f>C92+1</f>
        <v>4</v>
      </c>
      <c r="D127" s="401"/>
      <c r="E127" s="1545" t="str">
        <f>IF(ISBLANK(G127),"",IF(INDEX(B_InstallationDescription!$M$156:$M$165,MATCH(S127,B_InstallationDescription!$E$156:$E$165,0))&gt;0,INDEX(B_InstallationDescription!$M$156:$M$165,MATCH(S127,B_InstallationDescription!$E$156:$E$165,0)),""))</f>
        <v/>
      </c>
      <c r="F127" s="1546"/>
      <c r="G127" s="1542"/>
      <c r="H127" s="1543"/>
      <c r="I127" s="1543"/>
      <c r="J127" s="1544"/>
      <c r="M127" s="347" t="str">
        <f>Translations!$B$686</f>
        <v>Bendras deginant iškastinį kurą išmestas ŠESD kiekis:</v>
      </c>
      <c r="N127" s="1038" t="str">
        <f>IF(G127="","",M139*M143*M144*10^-3*(1-M141)*S154*R145)</f>
        <v/>
      </c>
      <c r="O127" s="741" t="s">
        <v>260</v>
      </c>
      <c r="P127" s="1"/>
      <c r="Q127" s="352" t="str">
        <f>EUconst_SumCO2 &amp; "_" &amp;E127</f>
        <v>SUM_CO2_</v>
      </c>
      <c r="R127" s="27" t="str">
        <f>IF(ISBLANK(G127),"",MATCH(G127,CNTR_MeasurementPoints,0))</f>
        <v/>
      </c>
      <c r="S127" s="27"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0"/>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0"/>
      <c r="AL127" s="32" t="b">
        <f>CNTR_MeasurementRelevant=EUconst_NotRelevant</f>
        <v>1</v>
      </c>
    </row>
    <row r="128" spans="1:38" s="391" customFormat="1" ht="15" hidden="1" customHeight="1" thickBot="1">
      <c r="A128" s="765"/>
      <c r="B128" s="789"/>
      <c r="C128" s="5"/>
      <c r="I128" s="24"/>
      <c r="J128" s="5"/>
      <c r="K128" s="5"/>
      <c r="L128" s="5"/>
      <c r="M128" s="346" t="str">
        <f>Translations!$B$687</f>
        <v>Bendras deginant biomasę išmestas ŠESD kiekis:</v>
      </c>
      <c r="N128" s="1037" t="str">
        <f>IF(G127="","",M139*M143*M144*10^-3*(M141)*S154*R145)</f>
        <v/>
      </c>
      <c r="O128" s="742" t="s">
        <v>260</v>
      </c>
      <c r="P128" s="1"/>
      <c r="Q128" s="353" t="str">
        <f>EUconst_SumBioCO2 &amp; "_" &amp; E127</f>
        <v>SUM_bioCO2_</v>
      </c>
      <c r="R128" s="23"/>
      <c r="S128" s="23"/>
      <c r="T128" s="23"/>
      <c r="U128" s="23"/>
      <c r="V128" s="23"/>
      <c r="W128" s="23"/>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3"/>
      <c r="AL128" s="23"/>
    </row>
    <row r="129" spans="1:38" ht="13.5" hidden="1" thickBot="1">
      <c r="A129" s="765"/>
      <c r="B129" s="1053"/>
      <c r="C129" s="832"/>
      <c r="D129" s="833"/>
      <c r="E129" s="831"/>
      <c r="F129" s="831"/>
      <c r="G129" s="831"/>
      <c r="H129" s="831"/>
      <c r="I129" s="831"/>
      <c r="J129" s="831"/>
      <c r="K129" s="831"/>
      <c r="L129" s="831"/>
      <c r="M129" s="831"/>
      <c r="N129" s="831"/>
      <c r="O129" s="736"/>
      <c r="P129" s="1"/>
      <c r="Q129" s="352" t="str">
        <f>EUconst_SumNonSustBioCO2 &amp; "_" &amp; K126</f>
        <v>SUM_bioNonSustCO2_</v>
      </c>
      <c r="R129" s="707" t="str">
        <f>IF(G127="","",ROUND(M139*M143*M144*10^-3*(1-M141)*M142*S154*R145,0))</f>
        <v/>
      </c>
      <c r="Y129" s="23"/>
      <c r="Z129" s="23"/>
      <c r="AA129" s="23"/>
      <c r="AB129" s="23"/>
      <c r="AC129" s="23"/>
      <c r="AD129" s="23"/>
      <c r="AE129" s="23"/>
      <c r="AF129" s="23"/>
      <c r="AG129" s="23"/>
      <c r="AH129" s="23"/>
      <c r="AI129" s="23"/>
      <c r="AJ129" s="23"/>
      <c r="AK129" s="23"/>
      <c r="AL129" s="23"/>
    </row>
    <row r="130" spans="1:38" ht="13.5" hidden="1" thickBot="1">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1"/>
      <c r="Q130" s="352" t="str">
        <f>EUconst_SumEnergyIN &amp; "_" &amp; K126</f>
        <v>SUM_EnergyIN_</v>
      </c>
      <c r="R130" s="707">
        <f>N130</f>
        <v>0</v>
      </c>
      <c r="Y130" s="23"/>
      <c r="Z130" s="23"/>
      <c r="AA130" s="23"/>
      <c r="AB130" s="23"/>
      <c r="AC130" s="23"/>
      <c r="AD130" s="23"/>
      <c r="AE130" s="23"/>
      <c r="AF130" s="23"/>
      <c r="AG130" s="23"/>
      <c r="AH130" s="23"/>
      <c r="AI130" s="23"/>
      <c r="AJ130" s="23"/>
      <c r="AK130" s="23"/>
      <c r="AL130" s="32" t="b">
        <f>AL135</f>
        <v>1</v>
      </c>
    </row>
    <row r="131" spans="1:38" ht="13.5" hidden="1" thickBot="1">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1"/>
      <c r="Q131" s="352" t="str">
        <f>EUconst_SumBioEnergyIN &amp; "_" &amp; K126</f>
        <v>SUM_BioEnergyIN_</v>
      </c>
      <c r="R131" s="707">
        <f>N131</f>
        <v>0</v>
      </c>
      <c r="Y131" s="23"/>
      <c r="Z131" s="23"/>
      <c r="AA131" s="23"/>
      <c r="AB131" s="23"/>
      <c r="AC131" s="23"/>
      <c r="AD131" s="23"/>
      <c r="AE131" s="23"/>
      <c r="AF131" s="23"/>
      <c r="AG131" s="23"/>
      <c r="AH131" s="23"/>
      <c r="AI131" s="23"/>
      <c r="AJ131" s="23"/>
      <c r="AK131" s="23"/>
      <c r="AL131" s="32" t="b">
        <f>AL130</f>
        <v>1</v>
      </c>
    </row>
    <row r="132" spans="1:38" s="391" customFormat="1" ht="4.5" hidden="1" customHeight="1">
      <c r="A132" s="809"/>
      <c r="B132" s="837"/>
      <c r="D132" s="153"/>
      <c r="K132" s="12"/>
      <c r="L132" s="12"/>
      <c r="M132" s="12"/>
      <c r="N132" s="12"/>
      <c r="O132" s="756"/>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1" customFormat="1" ht="12.75" hidden="1" customHeight="1">
      <c r="A133" s="809"/>
      <c r="B133" s="837"/>
      <c r="D133" s="9" t="s">
        <v>1</v>
      </c>
      <c r="E133" s="1391" t="str">
        <f>Translations!$B$690</f>
        <v>Skaičiavimai</v>
      </c>
      <c r="F133" s="1391"/>
      <c r="G133" s="1391"/>
      <c r="H133" s="1391"/>
      <c r="I133" s="1391"/>
      <c r="J133" s="1391"/>
      <c r="K133" s="1391"/>
      <c r="L133" s="1391"/>
      <c r="M133" s="1391"/>
      <c r="N133" s="1391"/>
      <c r="O133" s="756"/>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1" customFormat="1" ht="4.5" hidden="1" customHeight="1">
      <c r="A134" s="809"/>
      <c r="B134" s="837"/>
      <c r="D134" s="153"/>
      <c r="K134" s="12"/>
      <c r="L134" s="12"/>
      <c r="M134" s="12"/>
      <c r="N134" s="12"/>
      <c r="O134" s="756"/>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1" customFormat="1" ht="12.75" hidden="1" customHeight="1" thickBot="1">
      <c r="A135" s="809"/>
      <c r="B135" s="837"/>
      <c r="D135" s="9"/>
      <c r="E135" s="408" t="str">
        <f>Translations!$B$691</f>
        <v>Informacija apie susijusius sukėliklius, jeigu taikytina:</v>
      </c>
      <c r="F135" s="408"/>
      <c r="G135" s="408"/>
      <c r="H135" s="408"/>
      <c r="I135" s="408"/>
      <c r="J135" s="1590" t="str">
        <f>Translations!$B$692</f>
        <v>Patvirtinamųjų skaičiavimų rezultatas (iškastinis kuras):</v>
      </c>
      <c r="K135" s="1590"/>
      <c r="L135" s="1590"/>
      <c r="M135" s="1590"/>
      <c r="N135" s="1251"/>
      <c r="O135" s="73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1" customFormat="1" hidden="1">
      <c r="A136" s="809"/>
      <c r="B136" s="837"/>
      <c r="D136" s="9"/>
      <c r="E136" s="1591"/>
      <c r="F136" s="1592"/>
      <c r="G136" s="1592"/>
      <c r="H136" s="1592"/>
      <c r="I136" s="1593"/>
      <c r="J136" s="1590" t="str">
        <f>Translations!$B$693</f>
        <v>Patvirtinamųjų skaičiavimų rezultatas (biomasė):</v>
      </c>
      <c r="K136" s="1590"/>
      <c r="L136" s="1590"/>
      <c r="M136" s="1590"/>
      <c r="N136" s="1252"/>
      <c r="O136" s="737"/>
      <c r="P136" s="690"/>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1" customFormat="1" ht="5.0999999999999996" hidden="1" customHeight="1">
      <c r="A137" s="809"/>
      <c r="B137" s="837"/>
      <c r="D137" s="9"/>
      <c r="E137" s="49"/>
      <c r="F137" s="49"/>
      <c r="G137" s="49"/>
      <c r="H137" s="49"/>
      <c r="I137" s="49"/>
      <c r="J137" s="49"/>
      <c r="K137" s="49"/>
      <c r="L137" s="49"/>
      <c r="M137" s="49"/>
      <c r="N137" s="49"/>
      <c r="O137" s="73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1" customFormat="1" ht="12.75" hidden="1" customHeight="1">
      <c r="A138" s="809"/>
      <c r="B138" s="837"/>
      <c r="I138" s="49"/>
      <c r="J138" s="49"/>
      <c r="K138" s="49"/>
      <c r="L138" s="825" t="str">
        <f>EUconst_Unit</f>
        <v>Vienetas</v>
      </c>
      <c r="M138" s="825"/>
      <c r="O138" s="737"/>
      <c r="P138" s="690"/>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1" customFormat="1" ht="12.75" hidden="1" customHeight="1" thickBot="1">
      <c r="A139" s="809"/>
      <c r="B139" s="837"/>
      <c r="E139" s="21"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1" customFormat="1" ht="12.75" hidden="1" customHeight="1">
      <c r="A140" s="809"/>
      <c r="B140" s="837"/>
      <c r="F140" s="481" t="str">
        <f>IF(OR(ISBLANK(F139),F139=EUconst_NoTier),"",IF(R141=EUconst_NA,EUconst_NA,IF(ISERROR(R141),"",R141)))</f>
        <v/>
      </c>
      <c r="G140" s="411"/>
      <c r="H140" s="404"/>
      <c r="I140" s="390"/>
      <c r="J140" s="390"/>
      <c r="K140" s="390"/>
      <c r="M140" s="153"/>
      <c r="O140" s="737"/>
      <c r="P140" s="23"/>
      <c r="Q140" s="1"/>
      <c r="R140" s="693"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1" customFormat="1" ht="12.75" hidden="1" customHeight="1">
      <c r="A141" s="809"/>
      <c r="B141" s="837"/>
      <c r="D141" s="206"/>
      <c r="G141" s="411" t="s">
        <v>5</v>
      </c>
      <c r="H141" s="404" t="str">
        <f>Translations!$B$682</f>
        <v>Biomasės dalis:</v>
      </c>
      <c r="I141" s="298"/>
      <c r="J141" s="298"/>
      <c r="K141" s="298"/>
      <c r="L141" s="843" t="s">
        <v>261</v>
      </c>
      <c r="M141" s="844"/>
      <c r="O141" s="737"/>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1" customFormat="1" ht="12.75" hidden="1" customHeight="1">
      <c r="A142" s="809"/>
      <c r="B142" s="837"/>
      <c r="D142" s="206"/>
      <c r="G142" s="411" t="s">
        <v>196</v>
      </c>
      <c r="H142" s="921" t="str">
        <f>Translations!$B$683</f>
        <v>netvarios biomasės dalis:</v>
      </c>
      <c r="I142" s="300"/>
      <c r="J142" s="300"/>
      <c r="K142" s="300"/>
      <c r="L142" s="922" t="s">
        <v>261</v>
      </c>
      <c r="M142" s="923"/>
      <c r="O142" s="737"/>
      <c r="P142" s="23"/>
      <c r="Q142" s="1"/>
      <c r="R142" s="693"/>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1" customFormat="1" ht="12.75" hidden="1" customHeight="1">
      <c r="A143" s="809"/>
      <c r="B143" s="837"/>
      <c r="E143" s="22"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1" customFormat="1" ht="12.75" hidden="1" customHeight="1" thickBot="1">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1" customFormat="1" ht="12.75" hidden="1" customHeight="1" thickBot="1">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1" customFormat="1" ht="5.0999999999999996" hidden="1" customHeight="1">
      <c r="A146" s="809"/>
      <c r="B146" s="837"/>
      <c r="D146" s="826"/>
      <c r="E146" s="206"/>
      <c r="F146" s="206"/>
      <c r="G146" s="206"/>
      <c r="H146" s="206"/>
      <c r="I146" s="206"/>
      <c r="J146" s="206"/>
      <c r="K146" s="206"/>
      <c r="L146" s="206"/>
      <c r="M146" s="6"/>
      <c r="O146" s="737"/>
      <c r="P146" s="23"/>
      <c r="Q146" s="23"/>
      <c r="R146" s="693"/>
      <c r="S146" s="23"/>
      <c r="T146" s="23"/>
      <c r="U146" s="23"/>
      <c r="V146" s="23"/>
      <c r="W146" s="23"/>
      <c r="X146" s="23"/>
      <c r="Y146" s="23"/>
      <c r="Z146" s="23"/>
      <c r="AA146" s="23"/>
      <c r="AB146" s="23"/>
      <c r="AC146" s="23"/>
      <c r="AD146" s="23"/>
      <c r="AE146" s="23"/>
      <c r="AF146" s="23"/>
      <c r="AG146" s="23"/>
      <c r="AH146" s="23"/>
      <c r="AI146" s="23"/>
      <c r="AJ146" s="23"/>
      <c r="AK146" s="23"/>
      <c r="AL146" s="23"/>
    </row>
    <row r="147" spans="1:38" s="391" customFormat="1" ht="12.75" hidden="1" customHeight="1" thickBot="1">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3"/>
      <c r="Q147" s="23"/>
      <c r="R147" s="693"/>
      <c r="S147" s="23"/>
      <c r="T147" s="23"/>
      <c r="U147" s="23"/>
      <c r="V147" s="23"/>
      <c r="W147" s="23"/>
      <c r="X147" s="23"/>
      <c r="Y147" s="23"/>
      <c r="Z147" s="23"/>
      <c r="AA147" s="23"/>
      <c r="AB147" s="23"/>
      <c r="AC147" s="23"/>
      <c r="AD147" s="23"/>
      <c r="AE147" s="23"/>
      <c r="AF147" s="23"/>
      <c r="AG147" s="23"/>
      <c r="AH147" s="23"/>
      <c r="AI147" s="23"/>
      <c r="AJ147" s="23"/>
      <c r="AK147" s="23"/>
      <c r="AL147" s="23"/>
    </row>
    <row r="148" spans="1:38" s="391" customFormat="1" ht="5.0999999999999996" hidden="1" customHeight="1">
      <c r="A148" s="809"/>
      <c r="B148" s="837"/>
      <c r="D148" s="826"/>
      <c r="E148" s="206"/>
      <c r="F148" s="206"/>
      <c r="G148" s="206"/>
      <c r="H148" s="206"/>
      <c r="I148" s="206"/>
      <c r="J148" s="206"/>
      <c r="K148" s="206"/>
      <c r="L148" s="206"/>
      <c r="M148" s="206"/>
      <c r="N148" s="206"/>
      <c r="O148" s="737"/>
      <c r="P148" s="23"/>
      <c r="Q148" s="23"/>
      <c r="R148" s="693"/>
      <c r="S148" s="23"/>
      <c r="T148" s="23"/>
      <c r="U148" s="23"/>
      <c r="V148" s="23"/>
      <c r="W148" s="23"/>
      <c r="X148" s="23"/>
      <c r="Y148" s="23"/>
      <c r="Z148" s="23"/>
      <c r="AA148" s="23"/>
      <c r="AB148" s="23"/>
      <c r="AC148" s="23"/>
      <c r="AD148" s="23"/>
      <c r="AE148" s="23"/>
      <c r="AF148" s="23"/>
      <c r="AG148" s="23"/>
      <c r="AH148" s="23"/>
      <c r="AI148" s="23"/>
      <c r="AJ148" s="23"/>
      <c r="AK148" s="23"/>
      <c r="AL148" s="23"/>
    </row>
    <row r="149" spans="1:38" s="391" customFormat="1" ht="12.75" hidden="1" customHeight="1">
      <c r="A149" s="809"/>
      <c r="B149" s="837"/>
      <c r="D149" s="9" t="s">
        <v>2</v>
      </c>
      <c r="E149" s="1391" t="str">
        <f>Translations!$B$700</f>
        <v>Perduotasis / būdingasis CO2</v>
      </c>
      <c r="F149" s="1391"/>
      <c r="G149" s="1391"/>
      <c r="H149" s="1391"/>
      <c r="I149" s="1391"/>
      <c r="J149" s="1391"/>
      <c r="K149" s="1391"/>
      <c r="L149" s="1391"/>
      <c r="M149" s="1391"/>
      <c r="N149" s="1391"/>
      <c r="O149" s="737"/>
      <c r="P149" s="690"/>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1" customFormat="1" ht="5.0999999999999996" hidden="1" customHeight="1">
      <c r="A150" s="809"/>
      <c r="B150" s="837"/>
      <c r="D150" s="9"/>
      <c r="E150" s="49"/>
      <c r="F150" s="49"/>
      <c r="G150" s="49"/>
      <c r="H150" s="49"/>
      <c r="I150" s="49"/>
      <c r="J150" s="49"/>
      <c r="K150" s="49"/>
      <c r="L150" s="49"/>
      <c r="M150" s="49"/>
      <c r="N150" s="49"/>
      <c r="O150" s="73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1" customFormat="1" ht="12.75" hidden="1" customHeight="1">
      <c r="A151" s="809"/>
      <c r="B151" s="837"/>
      <c r="D151" s="411" t="s">
        <v>4</v>
      </c>
      <c r="E151" s="413" t="str">
        <f>Translations!$B$170</f>
        <v>Įrenginio pavadinimas</v>
      </c>
      <c r="F151" s="390"/>
      <c r="G151" s="390"/>
      <c r="H151" s="390"/>
      <c r="I151" s="1594"/>
      <c r="J151" s="1582"/>
      <c r="K151" s="1582"/>
      <c r="L151" s="1582"/>
      <c r="M151" s="1582"/>
      <c r="N151" s="1582"/>
      <c r="O151" s="737"/>
      <c r="P151" s="23"/>
      <c r="Q151" s="1107"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1" customFormat="1" ht="12.75" hidden="1" customHeight="1">
      <c r="A152" s="809"/>
      <c r="B152" s="837"/>
      <c r="D152" s="411" t="s">
        <v>5</v>
      </c>
      <c r="E152" s="413" t="str">
        <f>Translations!$B$79</f>
        <v>Veiklos vykdytojo pavadinimas</v>
      </c>
      <c r="F152" s="390"/>
      <c r="G152" s="390"/>
      <c r="H152" s="390"/>
      <c r="I152" s="1594"/>
      <c r="J152" s="1582"/>
      <c r="K152" s="1582"/>
      <c r="L152" s="1582"/>
      <c r="M152" s="1582"/>
      <c r="N152" s="1582"/>
      <c r="O152" s="737"/>
      <c r="P152" s="23"/>
      <c r="Q152" s="1107"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1" customFormat="1" ht="12.75" hidden="1" customHeight="1">
      <c r="A153" s="809"/>
      <c r="B153" s="837"/>
      <c r="D153" s="411" t="s">
        <v>196</v>
      </c>
      <c r="E153" s="413" t="str">
        <f>Translations!$B$171</f>
        <v>Įrenginio unikalus ID</v>
      </c>
      <c r="F153" s="390"/>
      <c r="G153" s="390"/>
      <c r="H153" s="390"/>
      <c r="I153" s="1594"/>
      <c r="J153" s="1582"/>
      <c r="K153" s="1582"/>
      <c r="L153" s="1582"/>
      <c r="M153" s="1582"/>
      <c r="N153" s="1582"/>
      <c r="O153" s="737"/>
      <c r="P153" s="23"/>
      <c r="Q153" s="1107"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1" customFormat="1" ht="0.75" hidden="1" customHeight="1">
      <c r="A154" s="809"/>
      <c r="B154" s="837"/>
      <c r="D154" s="411" t="s">
        <v>197</v>
      </c>
      <c r="E154" s="413" t="str">
        <f>Translations!$B$169</f>
        <v>Perdavimo tipas</v>
      </c>
      <c r="F154" s="390"/>
      <c r="G154" s="390"/>
      <c r="H154" s="390"/>
      <c r="I154" s="1582"/>
      <c r="J154" s="1582"/>
      <c r="K154" s="1582"/>
      <c r="L154" s="1582"/>
      <c r="M154" s="1582"/>
      <c r="N154" s="1582"/>
      <c r="O154" s="73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1" customFormat="1" ht="4.5" hidden="1" customHeight="1">
      <c r="A155" s="809"/>
      <c r="B155" s="837"/>
      <c r="D155" s="9"/>
      <c r="E155" s="49"/>
      <c r="F155" s="49"/>
      <c r="G155" s="49"/>
      <c r="H155" s="49"/>
      <c r="I155" s="49"/>
      <c r="J155" s="49"/>
      <c r="K155" s="49"/>
      <c r="L155" s="49"/>
      <c r="M155" s="49"/>
      <c r="N155" s="49"/>
      <c r="O155" s="73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1" customFormat="1" ht="5.0999999999999996" hidden="1" customHeight="1">
      <c r="A156" s="809"/>
      <c r="B156" s="837"/>
      <c r="D156" s="9"/>
      <c r="E156" s="49"/>
      <c r="F156" s="49"/>
      <c r="G156" s="49"/>
      <c r="H156" s="49"/>
      <c r="I156" s="49"/>
      <c r="J156" s="49"/>
      <c r="K156" s="49"/>
      <c r="L156" s="49"/>
      <c r="M156" s="49"/>
      <c r="N156" s="49"/>
      <c r="O156" s="73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1" customFormat="1" ht="12.75" hidden="1" customHeight="1">
      <c r="A157" s="809"/>
      <c r="B157" s="837"/>
      <c r="E157" s="1589" t="str">
        <f>Translations!$B$701</f>
        <v>Pastabos (pvz., patvirtinamųjų skaičiavimų aprašas arba ar trūksta didelės duomenų dalies):</v>
      </c>
      <c r="F157" s="1589"/>
      <c r="G157" s="1589"/>
      <c r="H157" s="1589"/>
      <c r="I157" s="1589"/>
      <c r="J157" s="1589"/>
      <c r="K157" s="1589"/>
      <c r="L157" s="1589"/>
      <c r="M157" s="1589"/>
      <c r="N157" s="1589"/>
      <c r="O157" s="73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1" customFormat="1" ht="12.75" hidden="1" customHeight="1">
      <c r="A158" s="809"/>
      <c r="B158" s="837"/>
      <c r="D158" s="10"/>
      <c r="E158" s="1583"/>
      <c r="F158" s="1584"/>
      <c r="G158" s="1584"/>
      <c r="H158" s="1584"/>
      <c r="I158" s="1584"/>
      <c r="J158" s="1584"/>
      <c r="K158" s="1584"/>
      <c r="L158" s="1584"/>
      <c r="M158" s="1584"/>
      <c r="N158" s="1585"/>
      <c r="O158" s="73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1" customFormat="1" ht="12.75" hidden="1" customHeight="1">
      <c r="A159" s="809"/>
      <c r="B159" s="837"/>
      <c r="D159" s="10"/>
      <c r="E159" s="1586"/>
      <c r="F159" s="1587"/>
      <c r="G159" s="1587"/>
      <c r="H159" s="1587"/>
      <c r="I159" s="1587"/>
      <c r="J159" s="1587"/>
      <c r="K159" s="1587"/>
      <c r="L159" s="1587"/>
      <c r="M159" s="1587"/>
      <c r="N159" s="1588"/>
      <c r="O159" s="73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hidden="1" customHeight="1" thickBot="1">
      <c r="A160" s="765"/>
      <c r="B160" s="793"/>
      <c r="C160" s="36"/>
      <c r="D160" s="37"/>
      <c r="E160" s="38"/>
      <c r="F160" s="36"/>
      <c r="G160" s="39"/>
      <c r="H160" s="39"/>
      <c r="I160" s="39"/>
      <c r="J160" s="39"/>
      <c r="K160" s="39"/>
      <c r="L160" s="39"/>
      <c r="M160" s="39"/>
      <c r="N160" s="39"/>
      <c r="O160" s="736"/>
      <c r="P160" s="1"/>
      <c r="S160" s="235"/>
      <c r="AK160" s="23"/>
    </row>
    <row r="161" spans="1:38" ht="12.75" hidden="1" customHeight="1" thickBot="1">
      <c r="A161" s="765"/>
      <c r="B161" s="836"/>
      <c r="C161" s="206"/>
      <c r="D161" s="6"/>
      <c r="E161" s="245"/>
      <c r="F161" s="245"/>
      <c r="G161" s="245"/>
      <c r="H161" s="245"/>
      <c r="I161" s="245"/>
      <c r="J161" s="245"/>
      <c r="K161" s="245"/>
      <c r="L161" s="245"/>
      <c r="M161" s="5"/>
      <c r="N161" s="5"/>
      <c r="O161" s="737"/>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hidden="1" customHeight="1" thickBot="1">
      <c r="A162" s="766"/>
      <c r="B162" s="790"/>
      <c r="C162" s="400">
        <f>C127+1</f>
        <v>5</v>
      </c>
      <c r="D162" s="401"/>
      <c r="E162" s="1545" t="str">
        <f>IF(ISBLANK(G162),"",IF(INDEX(B_InstallationDescription!$M$156:$M$165,MATCH(S162,B_InstallationDescription!$E$156:$E$165,0))&gt;0,INDEX(B_InstallationDescription!$M$156:$M$165,MATCH(S162,B_InstallationDescription!$E$156:$E$165,0)),""))</f>
        <v/>
      </c>
      <c r="F162" s="1546"/>
      <c r="G162" s="1542"/>
      <c r="H162" s="1543"/>
      <c r="I162" s="1543"/>
      <c r="J162" s="1544"/>
      <c r="M162" s="347" t="str">
        <f>Translations!$B$686</f>
        <v>Bendras deginant iškastinį kurą išmestas ŠESD kiekis:</v>
      </c>
      <c r="N162" s="1038" t="str">
        <f>IF(G162="","",M174*M178*M179*10^-3*(1-M176)*S189*R180)</f>
        <v/>
      </c>
      <c r="O162" s="741" t="s">
        <v>260</v>
      </c>
      <c r="P162" s="1"/>
      <c r="Q162" s="352" t="str">
        <f>EUconst_SumCO2 &amp; "_" &amp;E162</f>
        <v>SUM_CO2_</v>
      </c>
      <c r="R162" s="27" t="str">
        <f>IF(ISBLANK(G162),"",MATCH(G162,CNTR_MeasurementPoints,0))</f>
        <v/>
      </c>
      <c r="S162" s="27"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0"/>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0"/>
      <c r="AL162" s="32" t="b">
        <f>CNTR_MeasurementRelevant=EUconst_NotRelevant</f>
        <v>1</v>
      </c>
    </row>
    <row r="163" spans="1:38" s="391" customFormat="1" ht="15" hidden="1" customHeight="1" thickBot="1">
      <c r="A163" s="765"/>
      <c r="B163" s="789"/>
      <c r="C163" s="5"/>
      <c r="I163" s="24"/>
      <c r="J163" s="5"/>
      <c r="K163" s="5"/>
      <c r="L163" s="5"/>
      <c r="M163" s="346" t="str">
        <f>Translations!$B$687</f>
        <v>Bendras deginant biomasę išmestas ŠESD kiekis:</v>
      </c>
      <c r="N163" s="1037" t="str">
        <f>IF(G162="","",M174*M178*M179*10^-3*(M176)*S189*R180)</f>
        <v/>
      </c>
      <c r="O163" s="742" t="s">
        <v>260</v>
      </c>
      <c r="P163" s="1"/>
      <c r="Q163" s="353" t="str">
        <f>EUconst_SumBioCO2 &amp; "_" &amp; E162</f>
        <v>SUM_bioCO2_</v>
      </c>
      <c r="R163" s="23"/>
      <c r="S163" s="23"/>
      <c r="T163" s="23"/>
      <c r="U163" s="23"/>
      <c r="V163" s="23"/>
      <c r="W163" s="23"/>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3"/>
      <c r="AL163" s="23"/>
    </row>
    <row r="164" spans="1:38" ht="13.5" hidden="1" thickBot="1">
      <c r="A164" s="765"/>
      <c r="B164" s="1053"/>
      <c r="C164" s="832"/>
      <c r="D164" s="833"/>
      <c r="E164" s="831"/>
      <c r="F164" s="831"/>
      <c r="G164" s="831"/>
      <c r="H164" s="831"/>
      <c r="I164" s="831"/>
      <c r="J164" s="831"/>
      <c r="K164" s="831"/>
      <c r="L164" s="831"/>
      <c r="M164" s="831"/>
      <c r="N164" s="831"/>
      <c r="O164" s="736"/>
      <c r="P164" s="1"/>
      <c r="Q164" s="352" t="str">
        <f>EUconst_SumNonSustBioCO2 &amp; "_" &amp; K161</f>
        <v>SUM_bioNonSustCO2_</v>
      </c>
      <c r="R164" s="707" t="str">
        <f>IF(G162="","",ROUND(M174*M178*M179*10^-3*(1-M176)*M177*S189*R180,0))</f>
        <v/>
      </c>
      <c r="Y164" s="23"/>
      <c r="Z164" s="23"/>
      <c r="AA164" s="23"/>
      <c r="AB164" s="23"/>
      <c r="AC164" s="23"/>
      <c r="AD164" s="23"/>
      <c r="AE164" s="23"/>
      <c r="AF164" s="23"/>
      <c r="AG164" s="23"/>
      <c r="AH164" s="23"/>
      <c r="AI164" s="23"/>
      <c r="AJ164" s="23"/>
      <c r="AK164" s="23"/>
      <c r="AL164" s="23"/>
    </row>
    <row r="165" spans="1:38" ht="13.5" hidden="1" thickBot="1">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1"/>
      <c r="Q165" s="352" t="str">
        <f>EUconst_SumEnergyIN &amp; "_" &amp; K161</f>
        <v>SUM_EnergyIN_</v>
      </c>
      <c r="R165" s="707">
        <f>N165</f>
        <v>0</v>
      </c>
      <c r="Y165" s="23"/>
      <c r="Z165" s="23"/>
      <c r="AA165" s="23"/>
      <c r="AB165" s="23"/>
      <c r="AC165" s="23"/>
      <c r="AD165" s="23"/>
      <c r="AE165" s="23"/>
      <c r="AF165" s="23"/>
      <c r="AG165" s="23"/>
      <c r="AH165" s="23"/>
      <c r="AI165" s="23"/>
      <c r="AJ165" s="23"/>
      <c r="AK165" s="23"/>
      <c r="AL165" s="32" t="b">
        <f>AL170</f>
        <v>1</v>
      </c>
    </row>
    <row r="166" spans="1:38" ht="13.5" hidden="1" thickBot="1">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1"/>
      <c r="Q166" s="352" t="str">
        <f>EUconst_SumBioEnergyIN &amp; "_" &amp; K161</f>
        <v>SUM_BioEnergyIN_</v>
      </c>
      <c r="R166" s="707">
        <f>N166</f>
        <v>0</v>
      </c>
      <c r="Y166" s="23"/>
      <c r="Z166" s="23"/>
      <c r="AA166" s="23"/>
      <c r="AB166" s="23"/>
      <c r="AC166" s="23"/>
      <c r="AD166" s="23"/>
      <c r="AE166" s="23"/>
      <c r="AF166" s="23"/>
      <c r="AG166" s="23"/>
      <c r="AH166" s="23"/>
      <c r="AI166" s="23"/>
      <c r="AJ166" s="23"/>
      <c r="AK166" s="23"/>
      <c r="AL166" s="32" t="b">
        <f>AL165</f>
        <v>1</v>
      </c>
    </row>
    <row r="167" spans="1:38" s="391" customFormat="1" ht="4.5" hidden="1" customHeight="1">
      <c r="A167" s="809"/>
      <c r="B167" s="837"/>
      <c r="D167" s="153"/>
      <c r="K167" s="12"/>
      <c r="L167" s="12"/>
      <c r="M167" s="12"/>
      <c r="N167" s="12"/>
      <c r="O167" s="756"/>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1" customFormat="1" ht="12.75" hidden="1" customHeight="1">
      <c r="A168" s="809"/>
      <c r="B168" s="837"/>
      <c r="D168" s="9" t="s">
        <v>1</v>
      </c>
      <c r="E168" s="1391" t="str">
        <f>Translations!$B$690</f>
        <v>Skaičiavimai</v>
      </c>
      <c r="F168" s="1391"/>
      <c r="G168" s="1391"/>
      <c r="H168" s="1391"/>
      <c r="I168" s="1391"/>
      <c r="J168" s="1391"/>
      <c r="K168" s="1391"/>
      <c r="L168" s="1391"/>
      <c r="M168" s="1391"/>
      <c r="N168" s="1391"/>
      <c r="O168" s="756"/>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1" customFormat="1" ht="4.5" hidden="1" customHeight="1">
      <c r="A169" s="809"/>
      <c r="B169" s="837"/>
      <c r="D169" s="153"/>
      <c r="K169" s="12"/>
      <c r="L169" s="12"/>
      <c r="M169" s="12"/>
      <c r="N169" s="12"/>
      <c r="O169" s="756"/>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1" customFormat="1" ht="12.75" hidden="1" customHeight="1" thickBot="1">
      <c r="A170" s="809"/>
      <c r="B170" s="837"/>
      <c r="D170" s="9"/>
      <c r="E170" s="408" t="str">
        <f>Translations!$B$691</f>
        <v>Informacija apie susijusius sukėliklius, jeigu taikytina:</v>
      </c>
      <c r="F170" s="408"/>
      <c r="G170" s="408"/>
      <c r="H170" s="408"/>
      <c r="I170" s="408"/>
      <c r="J170" s="1590" t="str">
        <f>Translations!$B$692</f>
        <v>Patvirtinamųjų skaičiavimų rezultatas (iškastinis kuras):</v>
      </c>
      <c r="K170" s="1590"/>
      <c r="L170" s="1590"/>
      <c r="M170" s="1590"/>
      <c r="N170" s="1251"/>
      <c r="O170" s="73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1" customFormat="1" hidden="1">
      <c r="A171" s="809"/>
      <c r="B171" s="837"/>
      <c r="D171" s="9"/>
      <c r="E171" s="1591"/>
      <c r="F171" s="1592"/>
      <c r="G171" s="1592"/>
      <c r="H171" s="1592"/>
      <c r="I171" s="1593"/>
      <c r="J171" s="1590" t="str">
        <f>Translations!$B$693</f>
        <v>Patvirtinamųjų skaičiavimų rezultatas (biomasė):</v>
      </c>
      <c r="K171" s="1590"/>
      <c r="L171" s="1590"/>
      <c r="M171" s="1590"/>
      <c r="N171" s="1252"/>
      <c r="O171" s="737"/>
      <c r="P171" s="690"/>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1" customFormat="1" ht="4.5" hidden="1" customHeight="1">
      <c r="A172" s="809"/>
      <c r="B172" s="837"/>
      <c r="D172" s="9"/>
      <c r="E172" s="49"/>
      <c r="F172" s="49"/>
      <c r="G172" s="49"/>
      <c r="H172" s="49"/>
      <c r="I172" s="49"/>
      <c r="J172" s="49"/>
      <c r="K172" s="49"/>
      <c r="L172" s="49"/>
      <c r="M172" s="49"/>
      <c r="N172" s="49"/>
      <c r="O172" s="73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1" customFormat="1" ht="12.75" hidden="1" customHeight="1">
      <c r="A173" s="809"/>
      <c r="B173" s="837"/>
      <c r="I173" s="49"/>
      <c r="J173" s="49"/>
      <c r="K173" s="49"/>
      <c r="L173" s="825" t="str">
        <f>EUconst_Unit</f>
        <v>Vienetas</v>
      </c>
      <c r="M173" s="825"/>
      <c r="O173" s="737"/>
      <c r="P173" s="690"/>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1" customFormat="1" ht="12.75" hidden="1" customHeight="1" thickBot="1">
      <c r="A174" s="809"/>
      <c r="B174" s="837"/>
      <c r="E174" s="21"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1" customFormat="1" ht="12.75" hidden="1" customHeight="1">
      <c r="A175" s="809"/>
      <c r="B175" s="837"/>
      <c r="F175" s="481" t="str">
        <f>IF(OR(ISBLANK(F174),F174=EUconst_NoTier),"",IF(R176=EUconst_NA,EUconst_NA,IF(ISERROR(R176),"",R176)))</f>
        <v/>
      </c>
      <c r="G175" s="411"/>
      <c r="H175" s="404"/>
      <c r="I175" s="390"/>
      <c r="J175" s="390"/>
      <c r="K175" s="390"/>
      <c r="M175" s="153"/>
      <c r="O175" s="737"/>
      <c r="P175" s="23"/>
      <c r="Q175" s="1"/>
      <c r="R175" s="693"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1" customFormat="1" ht="12.75" hidden="1" customHeight="1">
      <c r="A176" s="809"/>
      <c r="B176" s="837"/>
      <c r="D176" s="206"/>
      <c r="G176" s="411" t="s">
        <v>5</v>
      </c>
      <c r="H176" s="404" t="str">
        <f>Translations!$B$682</f>
        <v>Biomasės dalis:</v>
      </c>
      <c r="I176" s="298"/>
      <c r="J176" s="298"/>
      <c r="K176" s="298"/>
      <c r="L176" s="843" t="s">
        <v>261</v>
      </c>
      <c r="M176" s="844"/>
      <c r="O176" s="737"/>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1" customFormat="1" ht="12.75" hidden="1" customHeight="1">
      <c r="A177" s="809"/>
      <c r="B177" s="837"/>
      <c r="D177" s="206"/>
      <c r="G177" s="411" t="s">
        <v>196</v>
      </c>
      <c r="H177" s="921" t="str">
        <f>Translations!$B$683</f>
        <v>netvarios biomasės dalis:</v>
      </c>
      <c r="I177" s="300"/>
      <c r="J177" s="300"/>
      <c r="K177" s="300"/>
      <c r="L177" s="922" t="s">
        <v>261</v>
      </c>
      <c r="M177" s="923"/>
      <c r="O177" s="737"/>
      <c r="P177" s="23"/>
      <c r="Q177" s="1"/>
      <c r="R177" s="693"/>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1" customFormat="1" ht="12.75" hidden="1" customHeight="1">
      <c r="A178" s="809"/>
      <c r="B178" s="837"/>
      <c r="E178" s="22"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1" customFormat="1" ht="12.75" hidden="1" customHeight="1" thickBot="1">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1" customFormat="1" ht="12.75" hidden="1" customHeight="1" thickBot="1">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1" customFormat="1" ht="4.5" hidden="1" customHeight="1">
      <c r="A181" s="809"/>
      <c r="B181" s="837"/>
      <c r="D181" s="826"/>
      <c r="E181" s="206"/>
      <c r="F181" s="206"/>
      <c r="G181" s="206"/>
      <c r="H181" s="206"/>
      <c r="I181" s="206"/>
      <c r="J181" s="206"/>
      <c r="K181" s="206"/>
      <c r="L181" s="206"/>
      <c r="M181" s="6"/>
      <c r="O181" s="737"/>
      <c r="P181" s="23"/>
      <c r="Q181" s="23"/>
      <c r="R181" s="693"/>
      <c r="S181" s="23"/>
      <c r="T181" s="23"/>
      <c r="U181" s="23"/>
      <c r="V181" s="23"/>
      <c r="W181" s="23"/>
      <c r="X181" s="23"/>
      <c r="Y181" s="23"/>
      <c r="Z181" s="23"/>
      <c r="AA181" s="23"/>
      <c r="AB181" s="23"/>
      <c r="AC181" s="23"/>
      <c r="AD181" s="23"/>
      <c r="AE181" s="23"/>
      <c r="AF181" s="23"/>
      <c r="AG181" s="23"/>
      <c r="AH181" s="23"/>
      <c r="AI181" s="23"/>
      <c r="AJ181" s="23"/>
      <c r="AK181" s="23"/>
      <c r="AL181" s="23"/>
    </row>
    <row r="182" spans="1:38" s="391" customFormat="1" ht="12.75" hidden="1" customHeight="1" thickBot="1">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3"/>
      <c r="Q182" s="23"/>
      <c r="R182" s="693"/>
      <c r="S182" s="23"/>
      <c r="T182" s="23"/>
      <c r="U182" s="23"/>
      <c r="V182" s="23"/>
      <c r="W182" s="23"/>
      <c r="X182" s="23"/>
      <c r="Y182" s="23"/>
      <c r="Z182" s="23"/>
      <c r="AA182" s="23"/>
      <c r="AB182" s="23"/>
      <c r="AC182" s="23"/>
      <c r="AD182" s="23"/>
      <c r="AE182" s="23"/>
      <c r="AF182" s="23"/>
      <c r="AG182" s="23"/>
      <c r="AH182" s="23"/>
      <c r="AI182" s="23"/>
      <c r="AJ182" s="23"/>
      <c r="AK182" s="23"/>
      <c r="AL182" s="23"/>
    </row>
    <row r="183" spans="1:38" s="391" customFormat="1" ht="4.5" hidden="1" customHeight="1">
      <c r="A183" s="809"/>
      <c r="B183" s="837"/>
      <c r="D183" s="826"/>
      <c r="E183" s="206"/>
      <c r="F183" s="206"/>
      <c r="G183" s="206"/>
      <c r="H183" s="206"/>
      <c r="I183" s="206"/>
      <c r="J183" s="206"/>
      <c r="K183" s="206"/>
      <c r="L183" s="206"/>
      <c r="M183" s="206"/>
      <c r="N183" s="206"/>
      <c r="O183" s="737"/>
      <c r="P183" s="23"/>
      <c r="Q183" s="23"/>
      <c r="R183" s="693"/>
      <c r="S183" s="23"/>
      <c r="T183" s="23"/>
      <c r="U183" s="23"/>
      <c r="V183" s="23"/>
      <c r="W183" s="23"/>
      <c r="X183" s="23"/>
      <c r="Y183" s="23"/>
      <c r="Z183" s="23"/>
      <c r="AA183" s="23"/>
      <c r="AB183" s="23"/>
      <c r="AC183" s="23"/>
      <c r="AD183" s="23"/>
      <c r="AE183" s="23"/>
      <c r="AF183" s="23"/>
      <c r="AG183" s="23"/>
      <c r="AH183" s="23"/>
      <c r="AI183" s="23"/>
      <c r="AJ183" s="23"/>
      <c r="AK183" s="23"/>
      <c r="AL183" s="23"/>
    </row>
    <row r="184" spans="1:38" s="391" customFormat="1" ht="12.75" hidden="1" customHeight="1">
      <c r="A184" s="809"/>
      <c r="B184" s="837"/>
      <c r="D184" s="9" t="s">
        <v>2</v>
      </c>
      <c r="E184" s="1391" t="str">
        <f>Translations!$B$700</f>
        <v>Perduotasis / būdingasis CO2</v>
      </c>
      <c r="F184" s="1391"/>
      <c r="G184" s="1391"/>
      <c r="H184" s="1391"/>
      <c r="I184" s="1391"/>
      <c r="J184" s="1391"/>
      <c r="K184" s="1391"/>
      <c r="L184" s="1391"/>
      <c r="M184" s="1391"/>
      <c r="N184" s="1391"/>
      <c r="O184" s="737"/>
      <c r="P184" s="690"/>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1" customFormat="1" ht="4.5" hidden="1" customHeight="1">
      <c r="A185" s="809"/>
      <c r="B185" s="837"/>
      <c r="D185" s="9"/>
      <c r="E185" s="49"/>
      <c r="F185" s="49"/>
      <c r="G185" s="49"/>
      <c r="H185" s="49"/>
      <c r="I185" s="49"/>
      <c r="J185" s="49"/>
      <c r="K185" s="49"/>
      <c r="L185" s="49"/>
      <c r="M185" s="49"/>
      <c r="N185" s="49"/>
      <c r="O185" s="73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1" customFormat="1" ht="12.75" hidden="1" customHeight="1">
      <c r="A186" s="809"/>
      <c r="B186" s="837"/>
      <c r="D186" s="411" t="s">
        <v>4</v>
      </c>
      <c r="E186" s="413" t="str">
        <f>Translations!$B$170</f>
        <v>Įrenginio pavadinimas</v>
      </c>
      <c r="F186" s="390"/>
      <c r="G186" s="390"/>
      <c r="H186" s="390"/>
      <c r="I186" s="1582"/>
      <c r="J186" s="1582"/>
      <c r="K186" s="1582"/>
      <c r="L186" s="1582"/>
      <c r="M186" s="1582"/>
      <c r="N186" s="1582"/>
      <c r="O186" s="737"/>
      <c r="P186" s="23"/>
      <c r="Q186" s="1107"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1" customFormat="1" ht="12.75" hidden="1" customHeight="1">
      <c r="A187" s="809"/>
      <c r="B187" s="837"/>
      <c r="D187" s="411" t="s">
        <v>5</v>
      </c>
      <c r="E187" s="413" t="str">
        <f>Translations!$B$79</f>
        <v>Veiklos vykdytojo pavadinimas</v>
      </c>
      <c r="F187" s="390"/>
      <c r="G187" s="390"/>
      <c r="H187" s="390"/>
      <c r="I187" s="1582"/>
      <c r="J187" s="1582"/>
      <c r="K187" s="1582"/>
      <c r="L187" s="1582"/>
      <c r="M187" s="1582"/>
      <c r="N187" s="1582"/>
      <c r="O187" s="737"/>
      <c r="P187" s="23"/>
      <c r="Q187" s="1107"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1" customFormat="1" ht="2.25" hidden="1" customHeight="1">
      <c r="A188" s="809"/>
      <c r="B188" s="837"/>
      <c r="D188" s="411" t="s">
        <v>196</v>
      </c>
      <c r="E188" s="413" t="str">
        <f>Translations!$B$171</f>
        <v>Įrenginio unikalus ID</v>
      </c>
      <c r="F188" s="390"/>
      <c r="G188" s="390"/>
      <c r="H188" s="390"/>
      <c r="I188" s="1582"/>
      <c r="J188" s="1582"/>
      <c r="K188" s="1582"/>
      <c r="L188" s="1582"/>
      <c r="M188" s="1582"/>
      <c r="N188" s="1582"/>
      <c r="O188" s="737"/>
      <c r="P188" s="23"/>
      <c r="Q188" s="1107"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1" customFormat="1" ht="12.75" hidden="1" customHeight="1">
      <c r="A189" s="809"/>
      <c r="B189" s="837"/>
      <c r="D189" s="411" t="s">
        <v>197</v>
      </c>
      <c r="E189" s="413" t="str">
        <f>Translations!$B$169</f>
        <v>Perdavimo tipas</v>
      </c>
      <c r="F189" s="390"/>
      <c r="G189" s="390"/>
      <c r="H189" s="390"/>
      <c r="I189" s="1582"/>
      <c r="J189" s="1582"/>
      <c r="K189" s="1582"/>
      <c r="L189" s="1582"/>
      <c r="M189" s="1582"/>
      <c r="N189" s="1582"/>
      <c r="O189" s="73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1" customFormat="1" ht="4.5" hidden="1" customHeight="1">
      <c r="A190" s="809"/>
      <c r="B190" s="837"/>
      <c r="D190" s="9"/>
      <c r="E190" s="49"/>
      <c r="F190" s="49"/>
      <c r="G190" s="49"/>
      <c r="H190" s="49"/>
      <c r="I190" s="49"/>
      <c r="J190" s="49"/>
      <c r="K190" s="49"/>
      <c r="L190" s="49"/>
      <c r="M190" s="49"/>
      <c r="N190" s="49"/>
      <c r="O190" s="73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1" customFormat="1" ht="4.5" hidden="1" customHeight="1">
      <c r="A191" s="809"/>
      <c r="B191" s="837"/>
      <c r="D191" s="9"/>
      <c r="E191" s="49"/>
      <c r="F191" s="49"/>
      <c r="G191" s="49"/>
      <c r="H191" s="49"/>
      <c r="I191" s="49"/>
      <c r="J191" s="49"/>
      <c r="K191" s="49"/>
      <c r="L191" s="49"/>
      <c r="M191" s="49"/>
      <c r="N191" s="49"/>
      <c r="O191" s="73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1" customFormat="1" ht="12.75" hidden="1" customHeight="1">
      <c r="A192" s="809"/>
      <c r="B192" s="837"/>
      <c r="E192" s="1589" t="str">
        <f>Translations!$B$701</f>
        <v>Pastabos (pvz., patvirtinamųjų skaičiavimų aprašas arba ar trūksta didelės duomenų dalies):</v>
      </c>
      <c r="F192" s="1589"/>
      <c r="G192" s="1589"/>
      <c r="H192" s="1589"/>
      <c r="I192" s="1589"/>
      <c r="J192" s="1589"/>
      <c r="K192" s="1589"/>
      <c r="L192" s="1589"/>
      <c r="M192" s="1589"/>
      <c r="N192" s="1589"/>
      <c r="O192" s="73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1" customFormat="1" ht="12.75" hidden="1" customHeight="1">
      <c r="A193" s="809"/>
      <c r="B193" s="837"/>
      <c r="D193" s="10"/>
      <c r="E193" s="1583"/>
      <c r="F193" s="1584"/>
      <c r="G193" s="1584"/>
      <c r="H193" s="1584"/>
      <c r="I193" s="1584"/>
      <c r="J193" s="1584"/>
      <c r="K193" s="1584"/>
      <c r="L193" s="1584"/>
      <c r="M193" s="1584"/>
      <c r="N193" s="1585"/>
      <c r="O193" s="73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1" customFormat="1" ht="11.25" hidden="1" customHeight="1">
      <c r="A194" s="809"/>
      <c r="B194" s="837"/>
      <c r="D194" s="10"/>
      <c r="E194" s="1586"/>
      <c r="F194" s="1587"/>
      <c r="G194" s="1587"/>
      <c r="H194" s="1587"/>
      <c r="I194" s="1587"/>
      <c r="J194" s="1587"/>
      <c r="K194" s="1587"/>
      <c r="L194" s="1587"/>
      <c r="M194" s="1587"/>
      <c r="N194" s="1588"/>
      <c r="O194" s="73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hidden="1" customHeight="1" thickBot="1">
      <c r="A195" s="765"/>
      <c r="B195" s="793"/>
      <c r="C195" s="36"/>
      <c r="D195" s="37"/>
      <c r="E195" s="38"/>
      <c r="F195" s="36"/>
      <c r="G195" s="39"/>
      <c r="H195" s="39"/>
      <c r="I195" s="39"/>
      <c r="J195" s="39"/>
      <c r="K195" s="39"/>
      <c r="L195" s="39"/>
      <c r="M195" s="39"/>
      <c r="N195" s="39"/>
      <c r="O195" s="736"/>
      <c r="P195" s="1"/>
      <c r="S195" s="235"/>
      <c r="AK195" s="23"/>
    </row>
    <row r="196" spans="1:38" ht="12.75" hidden="1" customHeight="1" thickBot="1">
      <c r="A196" s="765"/>
      <c r="B196" s="836"/>
      <c r="C196" s="206"/>
      <c r="D196" s="6"/>
      <c r="E196" s="245"/>
      <c r="F196" s="245"/>
      <c r="G196" s="245"/>
      <c r="H196" s="245"/>
      <c r="I196" s="245"/>
      <c r="J196" s="245"/>
      <c r="K196" s="245"/>
      <c r="L196" s="245"/>
      <c r="M196" s="5"/>
      <c r="N196" s="5"/>
      <c r="O196" s="737"/>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hidden="1" customHeight="1" thickBot="1">
      <c r="A197" s="766"/>
      <c r="B197" s="790"/>
      <c r="C197" s="400">
        <f>C162+1</f>
        <v>6</v>
      </c>
      <c r="D197" s="401"/>
      <c r="E197" s="1545" t="str">
        <f>IF(ISBLANK(G197),"",IF(INDEX(B_InstallationDescription!$M$156:$M$165,MATCH(S197,B_InstallationDescription!$E$156:$E$165,0))&gt;0,INDEX(B_InstallationDescription!$M$156:$M$165,MATCH(S197,B_InstallationDescription!$E$156:$E$165,0)),""))</f>
        <v/>
      </c>
      <c r="F197" s="1546"/>
      <c r="G197" s="1542"/>
      <c r="H197" s="1543"/>
      <c r="I197" s="1543"/>
      <c r="J197" s="1544"/>
      <c r="M197" s="347" t="str">
        <f>Translations!$B$686</f>
        <v>Bendras deginant iškastinį kurą išmestas ŠESD kiekis:</v>
      </c>
      <c r="N197" s="1038" t="str">
        <f>IF(G197="","",M209*M213*M214*10^-3*(1-M211)*S224*R215)</f>
        <v/>
      </c>
      <c r="O197" s="741" t="s">
        <v>260</v>
      </c>
      <c r="P197" s="1"/>
      <c r="Q197" s="352" t="str">
        <f>EUconst_SumCO2 &amp; "_" &amp;E197</f>
        <v>SUM_CO2_</v>
      </c>
      <c r="R197" s="27" t="str">
        <f>IF(ISBLANK(G197),"",MATCH(G197,CNTR_MeasurementPoints,0))</f>
        <v/>
      </c>
      <c r="S197" s="27"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0"/>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0"/>
      <c r="AL197" s="32" t="b">
        <f>CNTR_MeasurementRelevant=EUconst_NotRelevant</f>
        <v>1</v>
      </c>
    </row>
    <row r="198" spans="1:38" s="391" customFormat="1" ht="15" hidden="1" customHeight="1" thickBot="1">
      <c r="A198" s="765"/>
      <c r="B198" s="789"/>
      <c r="C198" s="5"/>
      <c r="I198" s="24"/>
      <c r="J198" s="5"/>
      <c r="K198" s="5"/>
      <c r="L198" s="5"/>
      <c r="M198" s="346" t="str">
        <f>Translations!$B$687</f>
        <v>Bendras deginant biomasę išmestas ŠESD kiekis:</v>
      </c>
      <c r="N198" s="1037" t="str">
        <f>IF(G197="","",M209*M213*M214*10^-3*(M211)*S224*R215)</f>
        <v/>
      </c>
      <c r="O198" s="742" t="s">
        <v>260</v>
      </c>
      <c r="P198" s="1"/>
      <c r="Q198" s="353" t="str">
        <f>EUconst_SumBioCO2 &amp; "_" &amp; E197</f>
        <v>SUM_bioCO2_</v>
      </c>
      <c r="R198" s="23"/>
      <c r="S198" s="23"/>
      <c r="T198" s="23"/>
      <c r="U198" s="23"/>
      <c r="V198" s="23"/>
      <c r="W198" s="23"/>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3"/>
      <c r="AL198" s="23"/>
    </row>
    <row r="199" spans="1:38" ht="13.5" hidden="1" thickBot="1">
      <c r="A199" s="765"/>
      <c r="B199" s="1053"/>
      <c r="C199" s="832"/>
      <c r="D199" s="833"/>
      <c r="E199" s="831"/>
      <c r="F199" s="831"/>
      <c r="G199" s="831"/>
      <c r="H199" s="831"/>
      <c r="I199" s="831"/>
      <c r="J199" s="831"/>
      <c r="K199" s="831"/>
      <c r="L199" s="831"/>
      <c r="M199" s="831"/>
      <c r="N199" s="831"/>
      <c r="O199" s="736"/>
      <c r="P199" s="1"/>
      <c r="Q199" s="352" t="str">
        <f>EUconst_SumNonSustBioCO2 &amp; "_" &amp; K196</f>
        <v>SUM_bioNonSustCO2_</v>
      </c>
      <c r="R199" s="707" t="str">
        <f>IF(G197="","",ROUND(M209*M213*M214*10^-3*(1-M211)*M212*S224*R215,0))</f>
        <v/>
      </c>
      <c r="Y199" s="23"/>
      <c r="Z199" s="23"/>
      <c r="AA199" s="23"/>
      <c r="AB199" s="23"/>
      <c r="AC199" s="23"/>
      <c r="AD199" s="23"/>
      <c r="AE199" s="23"/>
      <c r="AF199" s="23"/>
      <c r="AG199" s="23"/>
      <c r="AH199" s="23"/>
      <c r="AI199" s="23"/>
      <c r="AJ199" s="23"/>
      <c r="AK199" s="23"/>
      <c r="AL199" s="23"/>
    </row>
    <row r="200" spans="1:38" ht="13.5" hidden="1" thickBot="1">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1"/>
      <c r="Q200" s="352" t="str">
        <f>EUconst_SumEnergyIN &amp; "_" &amp; K196</f>
        <v>SUM_EnergyIN_</v>
      </c>
      <c r="R200" s="707">
        <f>N200</f>
        <v>0</v>
      </c>
      <c r="Y200" s="23"/>
      <c r="Z200" s="23"/>
      <c r="AA200" s="23"/>
      <c r="AB200" s="23"/>
      <c r="AC200" s="23"/>
      <c r="AD200" s="23"/>
      <c r="AE200" s="23"/>
      <c r="AF200" s="23"/>
      <c r="AG200" s="23"/>
      <c r="AH200" s="23"/>
      <c r="AI200" s="23"/>
      <c r="AJ200" s="23"/>
      <c r="AK200" s="23"/>
      <c r="AL200" s="32" t="b">
        <f>AL205</f>
        <v>1</v>
      </c>
    </row>
    <row r="201" spans="1:38" ht="13.5" hidden="1" thickBot="1">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1"/>
      <c r="Q201" s="352" t="str">
        <f>EUconst_SumBioEnergyIN &amp; "_" &amp; K196</f>
        <v>SUM_BioEnergyIN_</v>
      </c>
      <c r="R201" s="707">
        <f>N201</f>
        <v>0</v>
      </c>
      <c r="Y201" s="23"/>
      <c r="Z201" s="23"/>
      <c r="AA201" s="23"/>
      <c r="AB201" s="23"/>
      <c r="AC201" s="23"/>
      <c r="AD201" s="23"/>
      <c r="AE201" s="23"/>
      <c r="AF201" s="23"/>
      <c r="AG201" s="23"/>
      <c r="AH201" s="23"/>
      <c r="AI201" s="23"/>
      <c r="AJ201" s="23"/>
      <c r="AK201" s="23"/>
      <c r="AL201" s="32" t="b">
        <f>AL200</f>
        <v>1</v>
      </c>
    </row>
    <row r="202" spans="1:38" s="391" customFormat="1" ht="5.0999999999999996" hidden="1" customHeight="1">
      <c r="A202" s="809"/>
      <c r="B202" s="837"/>
      <c r="D202" s="153"/>
      <c r="K202" s="12"/>
      <c r="L202" s="12"/>
      <c r="M202" s="12"/>
      <c r="N202" s="12"/>
      <c r="O202" s="756"/>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1" customFormat="1" ht="12.75" hidden="1" customHeight="1">
      <c r="A203" s="809"/>
      <c r="B203" s="837"/>
      <c r="D203" s="9" t="s">
        <v>1</v>
      </c>
      <c r="E203" s="1391" t="str">
        <f>Translations!$B$690</f>
        <v>Skaičiavimai</v>
      </c>
      <c r="F203" s="1391"/>
      <c r="G203" s="1391"/>
      <c r="H203" s="1391"/>
      <c r="I203" s="1391"/>
      <c r="J203" s="1391"/>
      <c r="K203" s="1391"/>
      <c r="L203" s="1391"/>
      <c r="M203" s="1391"/>
      <c r="N203" s="1391"/>
      <c r="O203" s="756"/>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1" customFormat="1" ht="4.5" hidden="1" customHeight="1">
      <c r="A204" s="809"/>
      <c r="B204" s="837"/>
      <c r="D204" s="153"/>
      <c r="K204" s="12"/>
      <c r="L204" s="12"/>
      <c r="M204" s="12"/>
      <c r="N204" s="12"/>
      <c r="O204" s="756"/>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1" customFormat="1" ht="12.75" hidden="1" customHeight="1" thickBot="1">
      <c r="A205" s="809"/>
      <c r="B205" s="837"/>
      <c r="D205" s="9"/>
      <c r="E205" s="408" t="str">
        <f>Translations!$B$691</f>
        <v>Informacija apie susijusius sukėliklius, jeigu taikytina:</v>
      </c>
      <c r="F205" s="408"/>
      <c r="G205" s="408"/>
      <c r="H205" s="408"/>
      <c r="I205" s="408"/>
      <c r="J205" s="1590" t="str">
        <f>Translations!$B$692</f>
        <v>Patvirtinamųjų skaičiavimų rezultatas (iškastinis kuras):</v>
      </c>
      <c r="K205" s="1590"/>
      <c r="L205" s="1590"/>
      <c r="M205" s="1590"/>
      <c r="N205" s="1251"/>
      <c r="O205" s="73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1" customFormat="1" hidden="1">
      <c r="A206" s="809"/>
      <c r="B206" s="837"/>
      <c r="D206" s="9"/>
      <c r="E206" s="1591"/>
      <c r="F206" s="1592"/>
      <c r="G206" s="1592"/>
      <c r="H206" s="1592"/>
      <c r="I206" s="1593"/>
      <c r="J206" s="1590" t="str">
        <f>Translations!$B$693</f>
        <v>Patvirtinamųjų skaičiavimų rezultatas (biomasė):</v>
      </c>
      <c r="K206" s="1590"/>
      <c r="L206" s="1590"/>
      <c r="M206" s="1590"/>
      <c r="N206" s="1252"/>
      <c r="O206" s="737"/>
      <c r="P206" s="690"/>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1" customFormat="1" ht="4.5" hidden="1" customHeight="1">
      <c r="A207" s="809"/>
      <c r="B207" s="837"/>
      <c r="D207" s="9"/>
      <c r="E207" s="49"/>
      <c r="F207" s="49"/>
      <c r="G207" s="49"/>
      <c r="H207" s="49"/>
      <c r="I207" s="49"/>
      <c r="J207" s="49"/>
      <c r="K207" s="49"/>
      <c r="L207" s="49"/>
      <c r="M207" s="49"/>
      <c r="N207" s="49"/>
      <c r="O207" s="73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1" customFormat="1" ht="12.75" hidden="1" customHeight="1">
      <c r="A208" s="809"/>
      <c r="B208" s="837"/>
      <c r="I208" s="49"/>
      <c r="J208" s="49"/>
      <c r="K208" s="49"/>
      <c r="L208" s="825" t="str">
        <f>EUconst_Unit</f>
        <v>Vienetas</v>
      </c>
      <c r="M208" s="825"/>
      <c r="O208" s="737"/>
      <c r="P208" s="690"/>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1" customFormat="1" ht="12.75" hidden="1" customHeight="1" thickBot="1">
      <c r="A209" s="809"/>
      <c r="B209" s="837"/>
      <c r="E209" s="21"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1" customFormat="1" ht="12.75" hidden="1" customHeight="1">
      <c r="A210" s="809"/>
      <c r="B210" s="837"/>
      <c r="F210" s="481" t="str">
        <f>IF(OR(ISBLANK(F209),F209=EUconst_NoTier),"",IF(R211=EUconst_NA,EUconst_NA,IF(ISERROR(R211),"",R211)))</f>
        <v/>
      </c>
      <c r="G210" s="411"/>
      <c r="H210" s="404"/>
      <c r="I210" s="390"/>
      <c r="J210" s="390"/>
      <c r="K210" s="390"/>
      <c r="M210" s="153"/>
      <c r="O210" s="737"/>
      <c r="P210" s="23"/>
      <c r="Q210" s="1"/>
      <c r="R210" s="693"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1" customFormat="1" ht="12.75" hidden="1" customHeight="1">
      <c r="A211" s="809"/>
      <c r="B211" s="837"/>
      <c r="D211" s="206"/>
      <c r="G211" s="411" t="s">
        <v>5</v>
      </c>
      <c r="H211" s="404" t="str">
        <f>Translations!$B$682</f>
        <v>Biomasės dalis:</v>
      </c>
      <c r="I211" s="298"/>
      <c r="J211" s="298"/>
      <c r="K211" s="298"/>
      <c r="L211" s="843" t="s">
        <v>261</v>
      </c>
      <c r="M211" s="844"/>
      <c r="O211" s="737"/>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1" customFormat="1" ht="12.75" hidden="1" customHeight="1">
      <c r="A212" s="809"/>
      <c r="B212" s="837"/>
      <c r="D212" s="206"/>
      <c r="G212" s="411" t="s">
        <v>196</v>
      </c>
      <c r="H212" s="921" t="str">
        <f>Translations!$B$683</f>
        <v>netvarios biomasės dalis:</v>
      </c>
      <c r="I212" s="300"/>
      <c r="J212" s="300"/>
      <c r="K212" s="300"/>
      <c r="L212" s="922" t="s">
        <v>261</v>
      </c>
      <c r="M212" s="923"/>
      <c r="O212" s="737"/>
      <c r="P212" s="23"/>
      <c r="Q212" s="1"/>
      <c r="R212" s="693"/>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1" customFormat="1" ht="12.75" hidden="1" customHeight="1">
      <c r="A213" s="809"/>
      <c r="B213" s="837"/>
      <c r="E213" s="22"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1" customFormat="1" ht="12.75" hidden="1" customHeight="1" thickBot="1">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1" customFormat="1" ht="12.75" hidden="1" customHeight="1" thickBot="1">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1" customFormat="1" ht="5.0999999999999996" hidden="1" customHeight="1">
      <c r="A216" s="809"/>
      <c r="B216" s="837"/>
      <c r="D216" s="826"/>
      <c r="E216" s="206"/>
      <c r="F216" s="206"/>
      <c r="G216" s="206"/>
      <c r="H216" s="206"/>
      <c r="I216" s="206"/>
      <c r="J216" s="206"/>
      <c r="K216" s="206"/>
      <c r="L216" s="206"/>
      <c r="M216" s="6"/>
      <c r="O216" s="737"/>
      <c r="P216" s="23"/>
      <c r="Q216" s="23"/>
      <c r="R216" s="693"/>
      <c r="S216" s="23"/>
      <c r="T216" s="23"/>
      <c r="U216" s="23"/>
      <c r="V216" s="23"/>
      <c r="W216" s="23"/>
      <c r="X216" s="23"/>
      <c r="Y216" s="23"/>
      <c r="Z216" s="23"/>
      <c r="AA216" s="23"/>
      <c r="AB216" s="23"/>
      <c r="AC216" s="23"/>
      <c r="AD216" s="23"/>
      <c r="AE216" s="23"/>
      <c r="AF216" s="23"/>
      <c r="AG216" s="23"/>
      <c r="AH216" s="23"/>
      <c r="AI216" s="23"/>
      <c r="AJ216" s="23"/>
      <c r="AK216" s="23"/>
      <c r="AL216" s="23"/>
    </row>
    <row r="217" spans="1:38" s="391" customFormat="1" ht="12.75" hidden="1" customHeight="1" thickBot="1">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3"/>
      <c r="Q217" s="23"/>
      <c r="R217" s="693"/>
      <c r="S217" s="23"/>
      <c r="T217" s="23"/>
      <c r="U217" s="23"/>
      <c r="V217" s="23"/>
      <c r="W217" s="23"/>
      <c r="X217" s="23"/>
      <c r="Y217" s="23"/>
      <c r="Z217" s="23"/>
      <c r="AA217" s="23"/>
      <c r="AB217" s="23"/>
      <c r="AC217" s="23"/>
      <c r="AD217" s="23"/>
      <c r="AE217" s="23"/>
      <c r="AF217" s="23"/>
      <c r="AG217" s="23"/>
      <c r="AH217" s="23"/>
      <c r="AI217" s="23"/>
      <c r="AJ217" s="23"/>
      <c r="AK217" s="23"/>
      <c r="AL217" s="23"/>
    </row>
    <row r="218" spans="1:38" s="391" customFormat="1" ht="4.5" hidden="1" customHeight="1">
      <c r="A218" s="809"/>
      <c r="B218" s="837"/>
      <c r="D218" s="826"/>
      <c r="E218" s="206"/>
      <c r="F218" s="206"/>
      <c r="G218" s="206"/>
      <c r="H218" s="206"/>
      <c r="I218" s="206"/>
      <c r="J218" s="206"/>
      <c r="K218" s="206"/>
      <c r="L218" s="206"/>
      <c r="M218" s="206"/>
      <c r="N218" s="206"/>
      <c r="O218" s="737"/>
      <c r="P218" s="23"/>
      <c r="Q218" s="23"/>
      <c r="R218" s="693"/>
      <c r="S218" s="23"/>
      <c r="T218" s="23"/>
      <c r="U218" s="23"/>
      <c r="V218" s="23"/>
      <c r="W218" s="23"/>
      <c r="X218" s="23"/>
      <c r="Y218" s="23"/>
      <c r="Z218" s="23"/>
      <c r="AA218" s="23"/>
      <c r="AB218" s="23"/>
      <c r="AC218" s="23"/>
      <c r="AD218" s="23"/>
      <c r="AE218" s="23"/>
      <c r="AF218" s="23"/>
      <c r="AG218" s="23"/>
      <c r="AH218" s="23"/>
      <c r="AI218" s="23"/>
      <c r="AJ218" s="23"/>
      <c r="AK218" s="23"/>
      <c r="AL218" s="23"/>
    </row>
    <row r="219" spans="1:38" s="391" customFormat="1" ht="12.75" hidden="1" customHeight="1">
      <c r="A219" s="809"/>
      <c r="B219" s="837"/>
      <c r="D219" s="9" t="s">
        <v>2</v>
      </c>
      <c r="E219" s="1391" t="str">
        <f>Translations!$B$700</f>
        <v>Perduotasis / būdingasis CO2</v>
      </c>
      <c r="F219" s="1391"/>
      <c r="G219" s="1391"/>
      <c r="H219" s="1391"/>
      <c r="I219" s="1391"/>
      <c r="J219" s="1391"/>
      <c r="K219" s="1391"/>
      <c r="L219" s="1391"/>
      <c r="M219" s="1391"/>
      <c r="N219" s="1391"/>
      <c r="O219" s="737"/>
      <c r="P219" s="690"/>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1" customFormat="1" ht="4.5" hidden="1" customHeight="1">
      <c r="A220" s="809"/>
      <c r="B220" s="837"/>
      <c r="D220" s="9"/>
      <c r="E220" s="49"/>
      <c r="F220" s="49"/>
      <c r="G220" s="49"/>
      <c r="H220" s="49"/>
      <c r="I220" s="49"/>
      <c r="J220" s="49"/>
      <c r="K220" s="49"/>
      <c r="L220" s="49"/>
      <c r="M220" s="49"/>
      <c r="N220" s="49"/>
      <c r="O220" s="73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1" customFormat="1" ht="12.75" hidden="1" customHeight="1">
      <c r="A221" s="809"/>
      <c r="B221" s="837"/>
      <c r="D221" s="411" t="s">
        <v>4</v>
      </c>
      <c r="E221" s="413" t="str">
        <f>Translations!$B$170</f>
        <v>Įrenginio pavadinimas</v>
      </c>
      <c r="F221" s="390"/>
      <c r="G221" s="390"/>
      <c r="H221" s="390"/>
      <c r="I221" s="1594"/>
      <c r="J221" s="1582"/>
      <c r="K221" s="1582"/>
      <c r="L221" s="1582"/>
      <c r="M221" s="1582"/>
      <c r="N221" s="1582"/>
      <c r="O221" s="737"/>
      <c r="P221" s="23"/>
      <c r="Q221" s="1107"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1" customFormat="1" ht="12.75" hidden="1" customHeight="1">
      <c r="A222" s="809"/>
      <c r="B222" s="837"/>
      <c r="D222" s="411" t="s">
        <v>5</v>
      </c>
      <c r="E222" s="413" t="str">
        <f>Translations!$B$79</f>
        <v>Veiklos vykdytojo pavadinimas</v>
      </c>
      <c r="F222" s="390"/>
      <c r="G222" s="390"/>
      <c r="H222" s="390"/>
      <c r="I222" s="1594"/>
      <c r="J222" s="1582"/>
      <c r="K222" s="1582"/>
      <c r="L222" s="1582"/>
      <c r="M222" s="1582"/>
      <c r="N222" s="1582"/>
      <c r="O222" s="737"/>
      <c r="P222" s="23"/>
      <c r="Q222" s="1107"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1" customFormat="1" ht="12.75" hidden="1" customHeight="1">
      <c r="A223" s="809"/>
      <c r="B223" s="837"/>
      <c r="D223" s="411" t="s">
        <v>196</v>
      </c>
      <c r="E223" s="413" t="str">
        <f>Translations!$B$171</f>
        <v>Įrenginio unikalus ID</v>
      </c>
      <c r="F223" s="390"/>
      <c r="G223" s="390"/>
      <c r="H223" s="390"/>
      <c r="I223" s="1594"/>
      <c r="J223" s="1582"/>
      <c r="K223" s="1582"/>
      <c r="L223" s="1582"/>
      <c r="M223" s="1582"/>
      <c r="N223" s="1582"/>
      <c r="O223" s="737"/>
      <c r="P223" s="23"/>
      <c r="Q223" s="1107"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1" customFormat="1" ht="12.75" hidden="1" customHeight="1">
      <c r="A224" s="809"/>
      <c r="B224" s="837"/>
      <c r="D224" s="411" t="s">
        <v>197</v>
      </c>
      <c r="E224" s="413" t="str">
        <f>Translations!$B$169</f>
        <v>Perdavimo tipas</v>
      </c>
      <c r="F224" s="390"/>
      <c r="G224" s="390"/>
      <c r="H224" s="390"/>
      <c r="I224" s="1582"/>
      <c r="J224" s="1582"/>
      <c r="K224" s="1582"/>
      <c r="L224" s="1582"/>
      <c r="M224" s="1582"/>
      <c r="N224" s="1582"/>
      <c r="O224" s="73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1" customFormat="1" ht="4.5" hidden="1" customHeight="1">
      <c r="A225" s="809"/>
      <c r="B225" s="837"/>
      <c r="D225" s="9"/>
      <c r="E225" s="49"/>
      <c r="F225" s="49"/>
      <c r="G225" s="49"/>
      <c r="H225" s="49"/>
      <c r="I225" s="49"/>
      <c r="J225" s="49"/>
      <c r="K225" s="49"/>
      <c r="L225" s="49"/>
      <c r="M225" s="49"/>
      <c r="N225" s="49"/>
      <c r="O225" s="73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1" customFormat="1" ht="4.5" hidden="1" customHeight="1">
      <c r="A226" s="809"/>
      <c r="B226" s="837"/>
      <c r="D226" s="9"/>
      <c r="E226" s="49"/>
      <c r="F226" s="49"/>
      <c r="G226" s="49"/>
      <c r="H226" s="49"/>
      <c r="I226" s="49"/>
      <c r="J226" s="49"/>
      <c r="K226" s="49"/>
      <c r="L226" s="49"/>
      <c r="M226" s="49"/>
      <c r="N226" s="49"/>
      <c r="O226" s="73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1" customFormat="1" ht="12.75" hidden="1" customHeight="1">
      <c r="A227" s="809"/>
      <c r="B227" s="837"/>
      <c r="E227" s="1589" t="str">
        <f>Translations!$B$701</f>
        <v>Pastabos (pvz., patvirtinamųjų skaičiavimų aprašas arba ar trūksta didelės duomenų dalies):</v>
      </c>
      <c r="F227" s="1589"/>
      <c r="G227" s="1589"/>
      <c r="H227" s="1589"/>
      <c r="I227" s="1589"/>
      <c r="J227" s="1589"/>
      <c r="K227" s="1589"/>
      <c r="L227" s="1589"/>
      <c r="M227" s="1589"/>
      <c r="N227" s="1589"/>
      <c r="O227" s="73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1" customFormat="1" ht="12.75" hidden="1" customHeight="1">
      <c r="A228" s="809"/>
      <c r="B228" s="837"/>
      <c r="D228" s="10"/>
      <c r="E228" s="1583"/>
      <c r="F228" s="1584"/>
      <c r="G228" s="1584"/>
      <c r="H228" s="1584"/>
      <c r="I228" s="1584"/>
      <c r="J228" s="1584"/>
      <c r="K228" s="1584"/>
      <c r="L228" s="1584"/>
      <c r="M228" s="1584"/>
      <c r="N228" s="1585"/>
      <c r="O228" s="73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1" customFormat="1" ht="12.75" hidden="1" customHeight="1">
      <c r="A229" s="809"/>
      <c r="B229" s="837"/>
      <c r="D229" s="10"/>
      <c r="E229" s="1586"/>
      <c r="F229" s="1587"/>
      <c r="G229" s="1587"/>
      <c r="H229" s="1587"/>
      <c r="I229" s="1587"/>
      <c r="J229" s="1587"/>
      <c r="K229" s="1587"/>
      <c r="L229" s="1587"/>
      <c r="M229" s="1587"/>
      <c r="N229" s="1588"/>
      <c r="O229" s="73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3" hidden="1" customHeight="1" thickBot="1">
      <c r="A230" s="765"/>
      <c r="B230" s="793"/>
      <c r="C230" s="36"/>
      <c r="D230" s="37"/>
      <c r="E230" s="38"/>
      <c r="F230" s="36"/>
      <c r="G230" s="39"/>
      <c r="H230" s="39"/>
      <c r="I230" s="39"/>
      <c r="J230" s="39"/>
      <c r="K230" s="39"/>
      <c r="L230" s="39"/>
      <c r="M230" s="39"/>
      <c r="N230" s="39"/>
      <c r="O230" s="736"/>
      <c r="P230" s="1"/>
      <c r="S230" s="235"/>
      <c r="AK230" s="23"/>
    </row>
    <row r="231" spans="1:38" ht="12.75" hidden="1" customHeight="1" thickBot="1">
      <c r="A231" s="765"/>
      <c r="B231" s="836"/>
      <c r="C231" s="206"/>
      <c r="D231" s="6"/>
      <c r="E231" s="245"/>
      <c r="F231" s="245"/>
      <c r="G231" s="245"/>
      <c r="H231" s="245"/>
      <c r="I231" s="245"/>
      <c r="J231" s="245"/>
      <c r="K231" s="245"/>
      <c r="L231" s="245"/>
      <c r="M231" s="5"/>
      <c r="N231" s="5"/>
      <c r="O231" s="737"/>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hidden="1" customHeight="1" thickBot="1">
      <c r="A232" s="766"/>
      <c r="B232" s="790"/>
      <c r="C232" s="400">
        <f>C197+1</f>
        <v>7</v>
      </c>
      <c r="D232" s="401"/>
      <c r="E232" s="1545" t="str">
        <f>IF(ISBLANK(G232),"",IF(INDEX(B_InstallationDescription!$M$156:$M$165,MATCH(S232,B_InstallationDescription!$E$156:$E$165,0))&gt;0,INDEX(B_InstallationDescription!$M$156:$M$165,MATCH(S232,B_InstallationDescription!$E$156:$E$165,0)),""))</f>
        <v/>
      </c>
      <c r="F232" s="1546"/>
      <c r="G232" s="1542"/>
      <c r="H232" s="1543"/>
      <c r="I232" s="1543"/>
      <c r="J232" s="1544"/>
      <c r="M232" s="347" t="str">
        <f>Translations!$B$686</f>
        <v>Bendras deginant iškastinį kurą išmestas ŠESD kiekis:</v>
      </c>
      <c r="N232" s="1038" t="str">
        <f>IF(G232="","",M244*M248*M249*10^-3*(1-M246)*S259*R250)</f>
        <v/>
      </c>
      <c r="O232" s="741" t="s">
        <v>260</v>
      </c>
      <c r="P232" s="1"/>
      <c r="Q232" s="352" t="str">
        <f>EUconst_SumCO2 &amp; "_" &amp;E232</f>
        <v>SUM_CO2_</v>
      </c>
      <c r="R232" s="27" t="str">
        <f>IF(ISBLANK(G232),"",MATCH(G232,CNTR_MeasurementPoints,0))</f>
        <v/>
      </c>
      <c r="S232" s="27"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0"/>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0"/>
      <c r="AL232" s="32" t="b">
        <f>CNTR_MeasurementRelevant=EUconst_NotRelevant</f>
        <v>1</v>
      </c>
    </row>
    <row r="233" spans="1:38" s="391" customFormat="1" ht="15" hidden="1" customHeight="1" thickBot="1">
      <c r="A233" s="765"/>
      <c r="B233" s="789"/>
      <c r="C233" s="5"/>
      <c r="I233" s="24"/>
      <c r="J233" s="5"/>
      <c r="K233" s="5"/>
      <c r="L233" s="5"/>
      <c r="M233" s="346" t="str">
        <f>Translations!$B$687</f>
        <v>Bendras deginant biomasę išmestas ŠESD kiekis:</v>
      </c>
      <c r="N233" s="1037" t="str">
        <f>IF(G232="","",M244*M248*M249*10^-3*(M246)*S259*R250)</f>
        <v/>
      </c>
      <c r="O233" s="742" t="s">
        <v>260</v>
      </c>
      <c r="P233" s="1"/>
      <c r="Q233" s="353" t="str">
        <f>EUconst_SumBioCO2 &amp; "_" &amp; E232</f>
        <v>SUM_bioCO2_</v>
      </c>
      <c r="R233" s="23"/>
      <c r="S233" s="23"/>
      <c r="T233" s="23"/>
      <c r="U233" s="23"/>
      <c r="V233" s="23"/>
      <c r="W233" s="23"/>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3"/>
      <c r="AL233" s="23"/>
    </row>
    <row r="234" spans="1:38" ht="13.5" hidden="1" thickBot="1">
      <c r="A234" s="765"/>
      <c r="B234" s="1053"/>
      <c r="C234" s="832"/>
      <c r="D234" s="833"/>
      <c r="E234" s="831"/>
      <c r="F234" s="831"/>
      <c r="G234" s="831"/>
      <c r="H234" s="831"/>
      <c r="I234" s="831"/>
      <c r="J234" s="831"/>
      <c r="K234" s="831"/>
      <c r="L234" s="831"/>
      <c r="M234" s="831"/>
      <c r="N234" s="831"/>
      <c r="O234" s="736"/>
      <c r="P234" s="1"/>
      <c r="Q234" s="352" t="str">
        <f>EUconst_SumNonSustBioCO2 &amp; "_" &amp; K231</f>
        <v>SUM_bioNonSustCO2_</v>
      </c>
      <c r="R234" s="707" t="str">
        <f>IF(G232="","",ROUND(M244*M248*M249*10^-3*(1-M246)*M247*S259*R250,0))</f>
        <v/>
      </c>
      <c r="Y234" s="23"/>
      <c r="Z234" s="23"/>
      <c r="AA234" s="23"/>
      <c r="AB234" s="23"/>
      <c r="AC234" s="23"/>
      <c r="AD234" s="23"/>
      <c r="AE234" s="23"/>
      <c r="AF234" s="23"/>
      <c r="AG234" s="23"/>
      <c r="AH234" s="23"/>
      <c r="AI234" s="23"/>
      <c r="AJ234" s="23"/>
      <c r="AK234" s="23"/>
      <c r="AL234" s="23"/>
    </row>
    <row r="235" spans="1:38" ht="13.5" hidden="1" thickBot="1">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1"/>
      <c r="Q235" s="352" t="str">
        <f>EUconst_SumEnergyIN &amp; "_" &amp; K231</f>
        <v>SUM_EnergyIN_</v>
      </c>
      <c r="R235" s="707">
        <f>N235</f>
        <v>0</v>
      </c>
      <c r="Y235" s="23"/>
      <c r="Z235" s="23"/>
      <c r="AA235" s="23"/>
      <c r="AB235" s="23"/>
      <c r="AC235" s="23"/>
      <c r="AD235" s="23"/>
      <c r="AE235" s="23"/>
      <c r="AF235" s="23"/>
      <c r="AG235" s="23"/>
      <c r="AH235" s="23"/>
      <c r="AI235" s="23"/>
      <c r="AJ235" s="23"/>
      <c r="AK235" s="23"/>
      <c r="AL235" s="32" t="b">
        <f>AL240</f>
        <v>1</v>
      </c>
    </row>
    <row r="236" spans="1:38" ht="13.5" hidden="1" thickBot="1">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1"/>
      <c r="Q236" s="352" t="str">
        <f>EUconst_SumBioEnergyIN &amp; "_" &amp; K231</f>
        <v>SUM_BioEnergyIN_</v>
      </c>
      <c r="R236" s="707">
        <f>N236</f>
        <v>0</v>
      </c>
      <c r="Y236" s="23"/>
      <c r="Z236" s="23"/>
      <c r="AA236" s="23"/>
      <c r="AB236" s="23"/>
      <c r="AC236" s="23"/>
      <c r="AD236" s="23"/>
      <c r="AE236" s="23"/>
      <c r="AF236" s="23"/>
      <c r="AG236" s="23"/>
      <c r="AH236" s="23"/>
      <c r="AI236" s="23"/>
      <c r="AJ236" s="23"/>
      <c r="AK236" s="23"/>
      <c r="AL236" s="32" t="b">
        <f>AL235</f>
        <v>1</v>
      </c>
    </row>
    <row r="237" spans="1:38" s="391" customFormat="1" ht="5.0999999999999996" hidden="1" customHeight="1">
      <c r="A237" s="809"/>
      <c r="B237" s="837"/>
      <c r="D237" s="153"/>
      <c r="K237" s="12"/>
      <c r="L237" s="12"/>
      <c r="M237" s="12"/>
      <c r="N237" s="12"/>
      <c r="O237" s="756"/>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1" customFormat="1" ht="12.75" hidden="1" customHeight="1">
      <c r="A238" s="809"/>
      <c r="B238" s="837"/>
      <c r="D238" s="9" t="s">
        <v>1</v>
      </c>
      <c r="E238" s="1391" t="str">
        <f>Translations!$B$690</f>
        <v>Skaičiavimai</v>
      </c>
      <c r="F238" s="1391"/>
      <c r="G238" s="1391"/>
      <c r="H238" s="1391"/>
      <c r="I238" s="1391"/>
      <c r="J238" s="1391"/>
      <c r="K238" s="1391"/>
      <c r="L238" s="1391"/>
      <c r="M238" s="1391"/>
      <c r="N238" s="1391"/>
      <c r="O238" s="756"/>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1" customFormat="1" ht="5.0999999999999996" hidden="1" customHeight="1">
      <c r="A239" s="809"/>
      <c r="B239" s="837"/>
      <c r="D239" s="153"/>
      <c r="K239" s="12"/>
      <c r="L239" s="12"/>
      <c r="M239" s="12"/>
      <c r="N239" s="12"/>
      <c r="O239" s="756"/>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1" customFormat="1" ht="12.75" hidden="1" customHeight="1" thickBot="1">
      <c r="A240" s="809"/>
      <c r="B240" s="837"/>
      <c r="D240" s="9"/>
      <c r="E240" s="408" t="str">
        <f>Translations!$B$691</f>
        <v>Informacija apie susijusius sukėliklius, jeigu taikytina:</v>
      </c>
      <c r="F240" s="408"/>
      <c r="G240" s="408"/>
      <c r="H240" s="408"/>
      <c r="I240" s="408"/>
      <c r="J240" s="1590" t="str">
        <f>Translations!$B$692</f>
        <v>Patvirtinamųjų skaičiavimų rezultatas (iškastinis kuras):</v>
      </c>
      <c r="K240" s="1590"/>
      <c r="L240" s="1590"/>
      <c r="M240" s="1590"/>
      <c r="N240" s="1251"/>
      <c r="O240" s="73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1" customFormat="1" hidden="1">
      <c r="A241" s="809"/>
      <c r="B241" s="837"/>
      <c r="D241" s="9"/>
      <c r="E241" s="1591"/>
      <c r="F241" s="1592"/>
      <c r="G241" s="1592"/>
      <c r="H241" s="1592"/>
      <c r="I241" s="1593"/>
      <c r="J241" s="1590" t="str">
        <f>Translations!$B$693</f>
        <v>Patvirtinamųjų skaičiavimų rezultatas (biomasė):</v>
      </c>
      <c r="K241" s="1590"/>
      <c r="L241" s="1590"/>
      <c r="M241" s="1590"/>
      <c r="N241" s="1252"/>
      <c r="O241" s="737"/>
      <c r="P241" s="690"/>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1" customFormat="1" ht="5.0999999999999996" hidden="1" customHeight="1">
      <c r="A242" s="809"/>
      <c r="B242" s="837"/>
      <c r="D242" s="9"/>
      <c r="E242" s="49"/>
      <c r="F242" s="49"/>
      <c r="G242" s="49"/>
      <c r="H242" s="49"/>
      <c r="I242" s="49"/>
      <c r="J242" s="49"/>
      <c r="K242" s="49"/>
      <c r="L242" s="49"/>
      <c r="M242" s="49"/>
      <c r="N242" s="49"/>
      <c r="O242" s="73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1" customFormat="1" ht="12.75" hidden="1" customHeight="1">
      <c r="A243" s="809"/>
      <c r="B243" s="837"/>
      <c r="I243" s="49"/>
      <c r="J243" s="49"/>
      <c r="K243" s="49"/>
      <c r="L243" s="825" t="str">
        <f>EUconst_Unit</f>
        <v>Vienetas</v>
      </c>
      <c r="M243" s="825"/>
      <c r="O243" s="737"/>
      <c r="P243" s="690"/>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1" customFormat="1" ht="12.75" hidden="1" customHeight="1" thickBot="1">
      <c r="A244" s="809"/>
      <c r="B244" s="837"/>
      <c r="E244" s="21"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1" customFormat="1" ht="12.75" hidden="1" customHeight="1">
      <c r="A245" s="809"/>
      <c r="B245" s="837"/>
      <c r="F245" s="481" t="str">
        <f>IF(OR(ISBLANK(F244),F244=EUconst_NoTier),"",IF(R246=EUconst_NA,EUconst_NA,IF(ISERROR(R246),"",R246)))</f>
        <v/>
      </c>
      <c r="G245" s="411"/>
      <c r="H245" s="404"/>
      <c r="I245" s="390"/>
      <c r="J245" s="390"/>
      <c r="K245" s="390"/>
      <c r="M245" s="153"/>
      <c r="O245" s="737"/>
      <c r="P245" s="23"/>
      <c r="Q245" s="1"/>
      <c r="R245" s="693"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1" customFormat="1" ht="12.75" hidden="1" customHeight="1">
      <c r="A246" s="809"/>
      <c r="B246" s="837"/>
      <c r="D246" s="206"/>
      <c r="G246" s="411" t="s">
        <v>5</v>
      </c>
      <c r="H246" s="404" t="str">
        <f>Translations!$B$682</f>
        <v>Biomasės dalis:</v>
      </c>
      <c r="I246" s="298"/>
      <c r="J246" s="298"/>
      <c r="K246" s="298"/>
      <c r="L246" s="843" t="s">
        <v>261</v>
      </c>
      <c r="M246" s="844"/>
      <c r="O246" s="737"/>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1" customFormat="1" ht="12.75" hidden="1" customHeight="1">
      <c r="A247" s="809"/>
      <c r="B247" s="837"/>
      <c r="D247" s="206"/>
      <c r="G247" s="411" t="s">
        <v>196</v>
      </c>
      <c r="H247" s="921" t="str">
        <f>Translations!$B$683</f>
        <v>netvarios biomasės dalis:</v>
      </c>
      <c r="I247" s="300"/>
      <c r="J247" s="300"/>
      <c r="K247" s="300"/>
      <c r="L247" s="922" t="s">
        <v>261</v>
      </c>
      <c r="M247" s="923"/>
      <c r="O247" s="737"/>
      <c r="P247" s="23"/>
      <c r="Q247" s="1"/>
      <c r="R247" s="693"/>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1" customFormat="1" ht="12.75" hidden="1" customHeight="1">
      <c r="A248" s="809"/>
      <c r="B248" s="837"/>
      <c r="E248" s="22"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1" customFormat="1" ht="12.75" hidden="1" customHeight="1" thickBot="1">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1" customFormat="1" ht="12.75" hidden="1" customHeight="1" thickBot="1">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1" customFormat="1" ht="5.0999999999999996" hidden="1" customHeight="1">
      <c r="A251" s="809"/>
      <c r="B251" s="837"/>
      <c r="D251" s="826"/>
      <c r="E251" s="206"/>
      <c r="F251" s="206"/>
      <c r="G251" s="206"/>
      <c r="H251" s="206"/>
      <c r="I251" s="206"/>
      <c r="J251" s="206"/>
      <c r="K251" s="206"/>
      <c r="L251" s="206"/>
      <c r="M251" s="6"/>
      <c r="O251" s="737"/>
      <c r="P251" s="23"/>
      <c r="Q251" s="23"/>
      <c r="R251" s="693"/>
      <c r="S251" s="23"/>
      <c r="T251" s="23"/>
      <c r="U251" s="23"/>
      <c r="V251" s="23"/>
      <c r="W251" s="23"/>
      <c r="X251" s="23"/>
      <c r="Y251" s="23"/>
      <c r="Z251" s="23"/>
      <c r="AA251" s="23"/>
      <c r="AB251" s="23"/>
      <c r="AC251" s="23"/>
      <c r="AD251" s="23"/>
      <c r="AE251" s="23"/>
      <c r="AF251" s="23"/>
      <c r="AG251" s="23"/>
      <c r="AH251" s="23"/>
      <c r="AI251" s="23"/>
      <c r="AJ251" s="23"/>
      <c r="AK251" s="23"/>
      <c r="AL251" s="23"/>
    </row>
    <row r="252" spans="1:38" s="391" customFormat="1" ht="12.75" hidden="1" customHeight="1" thickBot="1">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3"/>
      <c r="Q252" s="23"/>
      <c r="R252" s="693"/>
      <c r="S252" s="23"/>
      <c r="T252" s="23"/>
      <c r="U252" s="23"/>
      <c r="V252" s="23"/>
      <c r="W252" s="23"/>
      <c r="X252" s="23"/>
      <c r="Y252" s="23"/>
      <c r="Z252" s="23"/>
      <c r="AA252" s="23"/>
      <c r="AB252" s="23"/>
      <c r="AC252" s="23"/>
      <c r="AD252" s="23"/>
      <c r="AE252" s="23"/>
      <c r="AF252" s="23"/>
      <c r="AG252" s="23"/>
      <c r="AH252" s="23"/>
      <c r="AI252" s="23"/>
      <c r="AJ252" s="23"/>
      <c r="AK252" s="23"/>
      <c r="AL252" s="23"/>
    </row>
    <row r="253" spans="1:38" s="391" customFormat="1" ht="4.5" hidden="1" customHeight="1">
      <c r="A253" s="809"/>
      <c r="B253" s="837"/>
      <c r="D253" s="826"/>
      <c r="E253" s="206"/>
      <c r="F253" s="206"/>
      <c r="G253" s="206"/>
      <c r="H253" s="206"/>
      <c r="I253" s="206"/>
      <c r="J253" s="206"/>
      <c r="K253" s="206"/>
      <c r="L253" s="206"/>
      <c r="M253" s="206"/>
      <c r="N253" s="206"/>
      <c r="O253" s="737"/>
      <c r="P253" s="23"/>
      <c r="Q253" s="23"/>
      <c r="R253" s="693"/>
      <c r="S253" s="23"/>
      <c r="T253" s="23"/>
      <c r="U253" s="23"/>
      <c r="V253" s="23"/>
      <c r="W253" s="23"/>
      <c r="X253" s="23"/>
      <c r="Y253" s="23"/>
      <c r="Z253" s="23"/>
      <c r="AA253" s="23"/>
      <c r="AB253" s="23"/>
      <c r="AC253" s="23"/>
      <c r="AD253" s="23"/>
      <c r="AE253" s="23"/>
      <c r="AF253" s="23"/>
      <c r="AG253" s="23"/>
      <c r="AH253" s="23"/>
      <c r="AI253" s="23"/>
      <c r="AJ253" s="23"/>
      <c r="AK253" s="23"/>
      <c r="AL253" s="23"/>
    </row>
    <row r="254" spans="1:38" s="391" customFormat="1" ht="12.75" hidden="1" customHeight="1">
      <c r="A254" s="809"/>
      <c r="B254" s="837"/>
      <c r="D254" s="9" t="s">
        <v>2</v>
      </c>
      <c r="E254" s="1391" t="str">
        <f>Translations!$B$700</f>
        <v>Perduotasis / būdingasis CO2</v>
      </c>
      <c r="F254" s="1391"/>
      <c r="G254" s="1391"/>
      <c r="H254" s="1391"/>
      <c r="I254" s="1391"/>
      <c r="J254" s="1391"/>
      <c r="K254" s="1391"/>
      <c r="L254" s="1391"/>
      <c r="M254" s="1391"/>
      <c r="N254" s="1391"/>
      <c r="O254" s="737"/>
      <c r="P254" s="690"/>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1" customFormat="1" ht="4.5" hidden="1" customHeight="1">
      <c r="A255" s="809"/>
      <c r="B255" s="837"/>
      <c r="D255" s="9"/>
      <c r="E255" s="49"/>
      <c r="F255" s="49"/>
      <c r="G255" s="49"/>
      <c r="H255" s="49"/>
      <c r="I255" s="49"/>
      <c r="J255" s="49"/>
      <c r="K255" s="49"/>
      <c r="L255" s="49"/>
      <c r="M255" s="49"/>
      <c r="N255" s="49"/>
      <c r="O255" s="73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1" customFormat="1" ht="12.75" hidden="1" customHeight="1">
      <c r="A256" s="809"/>
      <c r="B256" s="837"/>
      <c r="D256" s="411" t="s">
        <v>4</v>
      </c>
      <c r="E256" s="413" t="str">
        <f>Translations!$B$170</f>
        <v>Įrenginio pavadinimas</v>
      </c>
      <c r="F256" s="390"/>
      <c r="G256" s="390"/>
      <c r="H256" s="390"/>
      <c r="I256" s="1582"/>
      <c r="J256" s="1582"/>
      <c r="K256" s="1582"/>
      <c r="L256" s="1582"/>
      <c r="M256" s="1582"/>
      <c r="N256" s="1582"/>
      <c r="O256" s="737"/>
      <c r="P256" s="23"/>
      <c r="Q256" s="1107"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1" customFormat="1" ht="12.75" hidden="1" customHeight="1">
      <c r="A257" s="809"/>
      <c r="B257" s="837"/>
      <c r="D257" s="411" t="s">
        <v>5</v>
      </c>
      <c r="E257" s="413" t="str">
        <f>Translations!$B$79</f>
        <v>Veiklos vykdytojo pavadinimas</v>
      </c>
      <c r="F257" s="390"/>
      <c r="G257" s="390"/>
      <c r="H257" s="390"/>
      <c r="I257" s="1582"/>
      <c r="J257" s="1582"/>
      <c r="K257" s="1582"/>
      <c r="L257" s="1582"/>
      <c r="M257" s="1582"/>
      <c r="N257" s="1582"/>
      <c r="O257" s="737"/>
      <c r="P257" s="23"/>
      <c r="Q257" s="1107"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1" customFormat="1" ht="12.75" hidden="1" customHeight="1">
      <c r="A258" s="809"/>
      <c r="B258" s="837"/>
      <c r="D258" s="411" t="s">
        <v>196</v>
      </c>
      <c r="E258" s="413" t="str">
        <f>Translations!$B$171</f>
        <v>Įrenginio unikalus ID</v>
      </c>
      <c r="F258" s="390"/>
      <c r="G258" s="390"/>
      <c r="H258" s="390"/>
      <c r="I258" s="1582"/>
      <c r="J258" s="1582"/>
      <c r="K258" s="1582"/>
      <c r="L258" s="1582"/>
      <c r="M258" s="1582"/>
      <c r="N258" s="1582"/>
      <c r="O258" s="737"/>
      <c r="P258" s="23"/>
      <c r="Q258" s="1107"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1" customFormat="1" ht="12.75" hidden="1" customHeight="1">
      <c r="A259" s="809"/>
      <c r="B259" s="837"/>
      <c r="D259" s="411" t="s">
        <v>197</v>
      </c>
      <c r="E259" s="413" t="str">
        <f>Translations!$B$169</f>
        <v>Perdavimo tipas</v>
      </c>
      <c r="F259" s="390"/>
      <c r="G259" s="390"/>
      <c r="H259" s="390"/>
      <c r="I259" s="1582"/>
      <c r="J259" s="1582"/>
      <c r="K259" s="1582"/>
      <c r="L259" s="1582"/>
      <c r="M259" s="1582"/>
      <c r="N259" s="1582"/>
      <c r="O259" s="73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1" customFormat="1" ht="4.5" hidden="1" customHeight="1">
      <c r="A260" s="809"/>
      <c r="B260" s="837"/>
      <c r="D260" s="9"/>
      <c r="E260" s="49"/>
      <c r="F260" s="49"/>
      <c r="G260" s="49"/>
      <c r="H260" s="49"/>
      <c r="I260" s="49"/>
      <c r="J260" s="49"/>
      <c r="K260" s="49"/>
      <c r="L260" s="49"/>
      <c r="M260" s="49"/>
      <c r="N260" s="49"/>
      <c r="O260" s="73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1" customFormat="1" ht="4.5" hidden="1" customHeight="1">
      <c r="A261" s="809"/>
      <c r="B261" s="837"/>
      <c r="D261" s="9"/>
      <c r="E261" s="49"/>
      <c r="F261" s="49"/>
      <c r="G261" s="49"/>
      <c r="H261" s="49"/>
      <c r="I261" s="49"/>
      <c r="J261" s="49"/>
      <c r="K261" s="49"/>
      <c r="L261" s="49"/>
      <c r="M261" s="49"/>
      <c r="N261" s="49"/>
      <c r="O261" s="73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1" customFormat="1" ht="12.75" hidden="1" customHeight="1">
      <c r="A262" s="809"/>
      <c r="B262" s="837"/>
      <c r="E262" s="1589" t="str">
        <f>Translations!$B$701</f>
        <v>Pastabos (pvz., patvirtinamųjų skaičiavimų aprašas arba ar trūksta didelės duomenų dalies):</v>
      </c>
      <c r="F262" s="1589"/>
      <c r="G262" s="1589"/>
      <c r="H262" s="1589"/>
      <c r="I262" s="1589"/>
      <c r="J262" s="1589"/>
      <c r="K262" s="1589"/>
      <c r="L262" s="1589"/>
      <c r="M262" s="1589"/>
      <c r="N262" s="1589"/>
      <c r="O262" s="73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1" customFormat="1" ht="12.75" hidden="1" customHeight="1">
      <c r="A263" s="809"/>
      <c r="B263" s="837"/>
      <c r="D263" s="10"/>
      <c r="E263" s="1583"/>
      <c r="F263" s="1584"/>
      <c r="G263" s="1584"/>
      <c r="H263" s="1584"/>
      <c r="I263" s="1584"/>
      <c r="J263" s="1584"/>
      <c r="K263" s="1584"/>
      <c r="L263" s="1584"/>
      <c r="M263" s="1584"/>
      <c r="N263" s="1585"/>
      <c r="O263" s="73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1" customFormat="1" ht="12" hidden="1" customHeight="1">
      <c r="A264" s="809"/>
      <c r="B264" s="837"/>
      <c r="D264" s="10"/>
      <c r="E264" s="1586"/>
      <c r="F264" s="1587"/>
      <c r="G264" s="1587"/>
      <c r="H264" s="1587"/>
      <c r="I264" s="1587"/>
      <c r="J264" s="1587"/>
      <c r="K264" s="1587"/>
      <c r="L264" s="1587"/>
      <c r="M264" s="1587"/>
      <c r="N264" s="1588"/>
      <c r="O264" s="73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hidden="1" customHeight="1" thickBot="1">
      <c r="A265" s="765"/>
      <c r="B265" s="793"/>
      <c r="C265" s="36"/>
      <c r="D265" s="37"/>
      <c r="E265" s="38"/>
      <c r="F265" s="36"/>
      <c r="G265" s="39"/>
      <c r="H265" s="39"/>
      <c r="I265" s="39"/>
      <c r="J265" s="39"/>
      <c r="K265" s="39"/>
      <c r="L265" s="39"/>
      <c r="M265" s="39"/>
      <c r="N265" s="39"/>
      <c r="O265" s="736"/>
      <c r="P265" s="1"/>
      <c r="S265" s="235"/>
      <c r="AK265" s="23"/>
    </row>
    <row r="266" spans="1:38" ht="12.75" hidden="1" customHeight="1" thickBot="1">
      <c r="A266" s="765"/>
      <c r="B266" s="836"/>
      <c r="C266" s="206"/>
      <c r="D266" s="6"/>
      <c r="E266" s="245"/>
      <c r="F266" s="245"/>
      <c r="G266" s="245"/>
      <c r="H266" s="245"/>
      <c r="I266" s="245"/>
      <c r="J266" s="245"/>
      <c r="K266" s="245"/>
      <c r="L266" s="245"/>
      <c r="M266" s="5"/>
      <c r="N266" s="5"/>
      <c r="O266" s="737"/>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hidden="1" customHeight="1" thickBot="1">
      <c r="A267" s="766"/>
      <c r="B267" s="790"/>
      <c r="C267" s="400">
        <f>C232+1</f>
        <v>8</v>
      </c>
      <c r="D267" s="401"/>
      <c r="E267" s="1545" t="str">
        <f>IF(ISBLANK(G267),"",IF(INDEX(B_InstallationDescription!$M$156:$M$165,MATCH(S267,B_InstallationDescription!$E$156:$E$165,0))&gt;0,INDEX(B_InstallationDescription!$M$156:$M$165,MATCH(S267,B_InstallationDescription!$E$156:$E$165,0)),""))</f>
        <v/>
      </c>
      <c r="F267" s="1546"/>
      <c r="G267" s="1542"/>
      <c r="H267" s="1543"/>
      <c r="I267" s="1543"/>
      <c r="J267" s="1544"/>
      <c r="M267" s="347" t="str">
        <f>Translations!$B$686</f>
        <v>Bendras deginant iškastinį kurą išmestas ŠESD kiekis:</v>
      </c>
      <c r="N267" s="1038" t="str">
        <f>IF(G267="","",M279*M283*M284*10^-3*(1-M281)*S294*R285)</f>
        <v/>
      </c>
      <c r="O267" s="741" t="s">
        <v>260</v>
      </c>
      <c r="P267" s="1"/>
      <c r="Q267" s="352" t="str">
        <f>EUconst_SumCO2 &amp; "_" &amp;E267</f>
        <v>SUM_CO2_</v>
      </c>
      <c r="R267" s="27" t="str">
        <f>IF(ISBLANK(G267),"",MATCH(G267,CNTR_MeasurementPoints,0))</f>
        <v/>
      </c>
      <c r="S267" s="27"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0"/>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0"/>
      <c r="AL267" s="32" t="b">
        <f>CNTR_MeasurementRelevant=EUconst_NotRelevant</f>
        <v>1</v>
      </c>
    </row>
    <row r="268" spans="1:38" s="391" customFormat="1" ht="15" hidden="1" customHeight="1" thickBot="1">
      <c r="A268" s="765"/>
      <c r="B268" s="789"/>
      <c r="C268" s="5"/>
      <c r="I268" s="24"/>
      <c r="J268" s="5"/>
      <c r="K268" s="5"/>
      <c r="L268" s="5"/>
      <c r="M268" s="346" t="str">
        <f>Translations!$B$687</f>
        <v>Bendras deginant biomasę išmestas ŠESD kiekis:</v>
      </c>
      <c r="N268" s="1037" t="str">
        <f>IF(G267="","",M279*M283*M284*10^-3*(M281)*S294*R285)</f>
        <v/>
      </c>
      <c r="O268" s="742" t="s">
        <v>260</v>
      </c>
      <c r="P268" s="1"/>
      <c r="Q268" s="353" t="str">
        <f>EUconst_SumBioCO2 &amp; "_" &amp; E267</f>
        <v>SUM_bioCO2_</v>
      </c>
      <c r="R268" s="23"/>
      <c r="S268" s="23"/>
      <c r="T268" s="23"/>
      <c r="U268" s="23"/>
      <c r="V268" s="23"/>
      <c r="W268" s="23"/>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3"/>
      <c r="AL268" s="23"/>
    </row>
    <row r="269" spans="1:38" ht="13.5" hidden="1" thickBot="1">
      <c r="A269" s="765"/>
      <c r="B269" s="1053"/>
      <c r="C269" s="832"/>
      <c r="D269" s="833"/>
      <c r="E269" s="831"/>
      <c r="F269" s="831"/>
      <c r="G269" s="831"/>
      <c r="H269" s="831"/>
      <c r="I269" s="831"/>
      <c r="J269" s="831"/>
      <c r="K269" s="831"/>
      <c r="L269" s="831"/>
      <c r="M269" s="831"/>
      <c r="N269" s="831"/>
      <c r="O269" s="736"/>
      <c r="P269" s="1"/>
      <c r="Q269" s="352" t="str">
        <f>EUconst_SumNonSustBioCO2 &amp; "_" &amp; K266</f>
        <v>SUM_bioNonSustCO2_</v>
      </c>
      <c r="R269" s="707" t="str">
        <f>IF(G267="","",ROUND(M279*M283*M284*10^-3*(1-M281)*M282*S294*R285,0))</f>
        <v/>
      </c>
      <c r="Y269" s="23"/>
      <c r="Z269" s="23"/>
      <c r="AA269" s="23"/>
      <c r="AB269" s="23"/>
      <c r="AC269" s="23"/>
      <c r="AD269" s="23"/>
      <c r="AE269" s="23"/>
      <c r="AF269" s="23"/>
      <c r="AG269" s="23"/>
      <c r="AH269" s="23"/>
      <c r="AI269" s="23"/>
      <c r="AJ269" s="23"/>
      <c r="AK269" s="23"/>
      <c r="AL269" s="23"/>
    </row>
    <row r="270" spans="1:38" ht="13.5" hidden="1" thickBot="1">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1"/>
      <c r="Q270" s="352" t="str">
        <f>EUconst_SumEnergyIN &amp; "_" &amp; K266</f>
        <v>SUM_EnergyIN_</v>
      </c>
      <c r="R270" s="707">
        <f>N270</f>
        <v>0</v>
      </c>
      <c r="Y270" s="23"/>
      <c r="Z270" s="23"/>
      <c r="AA270" s="23"/>
      <c r="AB270" s="23"/>
      <c r="AC270" s="23"/>
      <c r="AD270" s="23"/>
      <c r="AE270" s="23"/>
      <c r="AF270" s="23"/>
      <c r="AG270" s="23"/>
      <c r="AH270" s="23"/>
      <c r="AI270" s="23"/>
      <c r="AJ270" s="23"/>
      <c r="AK270" s="23"/>
      <c r="AL270" s="32" t="b">
        <f>AL275</f>
        <v>1</v>
      </c>
    </row>
    <row r="271" spans="1:38" ht="13.5" hidden="1" thickBot="1">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1"/>
      <c r="Q271" s="352" t="str">
        <f>EUconst_SumBioEnergyIN &amp; "_" &amp; K266</f>
        <v>SUM_BioEnergyIN_</v>
      </c>
      <c r="R271" s="707">
        <f>N271</f>
        <v>0</v>
      </c>
      <c r="Y271" s="23"/>
      <c r="Z271" s="23"/>
      <c r="AA271" s="23"/>
      <c r="AB271" s="23"/>
      <c r="AC271" s="23"/>
      <c r="AD271" s="23"/>
      <c r="AE271" s="23"/>
      <c r="AF271" s="23"/>
      <c r="AG271" s="23"/>
      <c r="AH271" s="23"/>
      <c r="AI271" s="23"/>
      <c r="AJ271" s="23"/>
      <c r="AK271" s="23"/>
      <c r="AL271" s="32" t="b">
        <f>AL270</f>
        <v>1</v>
      </c>
    </row>
    <row r="272" spans="1:38" s="391" customFormat="1" ht="4.5" hidden="1" customHeight="1">
      <c r="A272" s="809"/>
      <c r="B272" s="837"/>
      <c r="D272" s="153"/>
      <c r="K272" s="12"/>
      <c r="L272" s="12"/>
      <c r="M272" s="12"/>
      <c r="N272" s="12"/>
      <c r="O272" s="756"/>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1" customFormat="1" ht="12.75" hidden="1" customHeight="1">
      <c r="A273" s="809"/>
      <c r="B273" s="837"/>
      <c r="D273" s="9" t="s">
        <v>1</v>
      </c>
      <c r="E273" s="1391" t="str">
        <f>Translations!$B$690</f>
        <v>Skaičiavimai</v>
      </c>
      <c r="F273" s="1391"/>
      <c r="G273" s="1391"/>
      <c r="H273" s="1391"/>
      <c r="I273" s="1391"/>
      <c r="J273" s="1391"/>
      <c r="K273" s="1391"/>
      <c r="L273" s="1391"/>
      <c r="M273" s="1391"/>
      <c r="N273" s="1391"/>
      <c r="O273" s="756"/>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1" customFormat="1" ht="4.5" hidden="1" customHeight="1">
      <c r="A274" s="809"/>
      <c r="B274" s="837"/>
      <c r="D274" s="153"/>
      <c r="K274" s="12"/>
      <c r="L274" s="12"/>
      <c r="M274" s="12"/>
      <c r="N274" s="12"/>
      <c r="O274" s="756"/>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1" customFormat="1" ht="12.75" hidden="1" customHeight="1" thickBot="1">
      <c r="A275" s="809"/>
      <c r="B275" s="837"/>
      <c r="D275" s="9"/>
      <c r="E275" s="408" t="str">
        <f>Translations!$B$691</f>
        <v>Informacija apie susijusius sukėliklius, jeigu taikytina:</v>
      </c>
      <c r="F275" s="408"/>
      <c r="G275" s="408"/>
      <c r="H275" s="408"/>
      <c r="I275" s="408"/>
      <c r="J275" s="1590" t="str">
        <f>Translations!$B$692</f>
        <v>Patvirtinamųjų skaičiavimų rezultatas (iškastinis kuras):</v>
      </c>
      <c r="K275" s="1590"/>
      <c r="L275" s="1590"/>
      <c r="M275" s="1590"/>
      <c r="N275" s="1251"/>
      <c r="O275" s="73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1" customFormat="1" hidden="1">
      <c r="A276" s="809"/>
      <c r="B276" s="837"/>
      <c r="D276" s="9"/>
      <c r="E276" s="1591"/>
      <c r="F276" s="1592"/>
      <c r="G276" s="1592"/>
      <c r="H276" s="1592"/>
      <c r="I276" s="1593"/>
      <c r="J276" s="1590" t="str">
        <f>Translations!$B$693</f>
        <v>Patvirtinamųjų skaičiavimų rezultatas (biomasė):</v>
      </c>
      <c r="K276" s="1590"/>
      <c r="L276" s="1590"/>
      <c r="M276" s="1590"/>
      <c r="N276" s="1252"/>
      <c r="O276" s="737"/>
      <c r="P276" s="690"/>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1" customFormat="1" ht="4.5" hidden="1" customHeight="1">
      <c r="A277" s="809"/>
      <c r="B277" s="837"/>
      <c r="D277" s="9"/>
      <c r="E277" s="49"/>
      <c r="F277" s="49"/>
      <c r="G277" s="49"/>
      <c r="H277" s="49"/>
      <c r="I277" s="49"/>
      <c r="J277" s="49"/>
      <c r="K277" s="49"/>
      <c r="L277" s="49"/>
      <c r="M277" s="49"/>
      <c r="N277" s="49"/>
      <c r="O277" s="73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1" customFormat="1" ht="12.75" hidden="1" customHeight="1">
      <c r="A278" s="809"/>
      <c r="B278" s="837"/>
      <c r="I278" s="49"/>
      <c r="J278" s="49"/>
      <c r="K278" s="49"/>
      <c r="L278" s="825" t="str">
        <f>EUconst_Unit</f>
        <v>Vienetas</v>
      </c>
      <c r="M278" s="825"/>
      <c r="O278" s="737"/>
      <c r="P278" s="690"/>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1" customFormat="1" ht="12.75" hidden="1" customHeight="1" thickBot="1">
      <c r="A279" s="809"/>
      <c r="B279" s="837"/>
      <c r="E279" s="21"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1" customFormat="1" ht="12.75" hidden="1" customHeight="1">
      <c r="A280" s="809"/>
      <c r="B280" s="837"/>
      <c r="F280" s="481" t="str">
        <f>IF(OR(ISBLANK(F279),F279=EUconst_NoTier),"",IF(R281=EUconst_NA,EUconst_NA,IF(ISERROR(R281),"",R281)))</f>
        <v/>
      </c>
      <c r="G280" s="411"/>
      <c r="H280" s="404"/>
      <c r="I280" s="390"/>
      <c r="J280" s="390"/>
      <c r="K280" s="390"/>
      <c r="M280" s="153"/>
      <c r="O280" s="737"/>
      <c r="P280" s="23"/>
      <c r="Q280" s="1"/>
      <c r="R280" s="693"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1" customFormat="1" ht="12.75" hidden="1" customHeight="1">
      <c r="A281" s="809"/>
      <c r="B281" s="837"/>
      <c r="D281" s="206"/>
      <c r="G281" s="411" t="s">
        <v>5</v>
      </c>
      <c r="H281" s="404" t="str">
        <f>Translations!$B$682</f>
        <v>Biomasės dalis:</v>
      </c>
      <c r="I281" s="298"/>
      <c r="J281" s="298"/>
      <c r="K281" s="298"/>
      <c r="L281" s="843" t="s">
        <v>261</v>
      </c>
      <c r="M281" s="844"/>
      <c r="O281" s="737"/>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1" customFormat="1" ht="12.75" hidden="1" customHeight="1">
      <c r="A282" s="809"/>
      <c r="B282" s="837"/>
      <c r="D282" s="206"/>
      <c r="G282" s="411" t="s">
        <v>196</v>
      </c>
      <c r="H282" s="921" t="str">
        <f>Translations!$B$683</f>
        <v>netvarios biomasės dalis:</v>
      </c>
      <c r="I282" s="300"/>
      <c r="J282" s="300"/>
      <c r="K282" s="300"/>
      <c r="L282" s="922" t="s">
        <v>261</v>
      </c>
      <c r="M282" s="923"/>
      <c r="O282" s="737"/>
      <c r="P282" s="23"/>
      <c r="Q282" s="1"/>
      <c r="R282" s="693"/>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1" customFormat="1" ht="12.75" hidden="1" customHeight="1">
      <c r="A283" s="809"/>
      <c r="B283" s="837"/>
      <c r="E283" s="22"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1" customFormat="1" ht="12.75" hidden="1" customHeight="1" thickBot="1">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1" customFormat="1" ht="12.75" hidden="1" customHeight="1" thickBot="1">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1" customFormat="1" ht="5.0999999999999996" hidden="1" customHeight="1">
      <c r="A286" s="809"/>
      <c r="B286" s="837"/>
      <c r="D286" s="826"/>
      <c r="E286" s="206"/>
      <c r="F286" s="206"/>
      <c r="G286" s="206"/>
      <c r="H286" s="206"/>
      <c r="I286" s="206"/>
      <c r="J286" s="206"/>
      <c r="K286" s="206"/>
      <c r="L286" s="206"/>
      <c r="M286" s="6"/>
      <c r="O286" s="737"/>
      <c r="P286" s="23"/>
      <c r="Q286" s="23"/>
      <c r="R286" s="693"/>
      <c r="S286" s="23"/>
      <c r="T286" s="23"/>
      <c r="U286" s="23"/>
      <c r="V286" s="23"/>
      <c r="W286" s="23"/>
      <c r="X286" s="23"/>
      <c r="Y286" s="23"/>
      <c r="Z286" s="23"/>
      <c r="AA286" s="23"/>
      <c r="AB286" s="23"/>
      <c r="AC286" s="23"/>
      <c r="AD286" s="23"/>
      <c r="AE286" s="23"/>
      <c r="AF286" s="23"/>
      <c r="AG286" s="23"/>
      <c r="AH286" s="23"/>
      <c r="AI286" s="23"/>
      <c r="AJ286" s="23"/>
      <c r="AK286" s="23"/>
      <c r="AL286" s="23"/>
    </row>
    <row r="287" spans="1:38" s="391" customFormat="1" ht="12.75" hidden="1" customHeight="1" thickBot="1">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3"/>
      <c r="Q287" s="23"/>
      <c r="R287" s="693"/>
      <c r="S287" s="23"/>
      <c r="T287" s="23"/>
      <c r="U287" s="23"/>
      <c r="V287" s="23"/>
      <c r="W287" s="23"/>
      <c r="X287" s="23"/>
      <c r="Y287" s="23"/>
      <c r="Z287" s="23"/>
      <c r="AA287" s="23"/>
      <c r="AB287" s="23"/>
      <c r="AC287" s="23"/>
      <c r="AD287" s="23"/>
      <c r="AE287" s="23"/>
      <c r="AF287" s="23"/>
      <c r="AG287" s="23"/>
      <c r="AH287" s="23"/>
      <c r="AI287" s="23"/>
      <c r="AJ287" s="23"/>
      <c r="AK287" s="23"/>
      <c r="AL287" s="23"/>
    </row>
    <row r="288" spans="1:38" s="391" customFormat="1" ht="5.0999999999999996" hidden="1" customHeight="1">
      <c r="A288" s="809"/>
      <c r="B288" s="837"/>
      <c r="D288" s="826"/>
      <c r="E288" s="206"/>
      <c r="F288" s="206"/>
      <c r="G288" s="206"/>
      <c r="H288" s="206"/>
      <c r="I288" s="206"/>
      <c r="J288" s="206"/>
      <c r="K288" s="206"/>
      <c r="L288" s="206"/>
      <c r="M288" s="206"/>
      <c r="N288" s="206"/>
      <c r="O288" s="737"/>
      <c r="P288" s="23"/>
      <c r="Q288" s="23"/>
      <c r="R288" s="693"/>
      <c r="S288" s="23"/>
      <c r="T288" s="23"/>
      <c r="U288" s="23"/>
      <c r="V288" s="23"/>
      <c r="W288" s="23"/>
      <c r="X288" s="23"/>
      <c r="Y288" s="23"/>
      <c r="Z288" s="23"/>
      <c r="AA288" s="23"/>
      <c r="AB288" s="23"/>
      <c r="AC288" s="23"/>
      <c r="AD288" s="23"/>
      <c r="AE288" s="23"/>
      <c r="AF288" s="23"/>
      <c r="AG288" s="23"/>
      <c r="AH288" s="23"/>
      <c r="AI288" s="23"/>
      <c r="AJ288" s="23"/>
      <c r="AK288" s="23"/>
      <c r="AL288" s="23"/>
    </row>
    <row r="289" spans="1:38" s="391" customFormat="1" ht="12.75" hidden="1" customHeight="1">
      <c r="A289" s="809"/>
      <c r="B289" s="837"/>
      <c r="D289" s="9" t="s">
        <v>2</v>
      </c>
      <c r="E289" s="1391" t="str">
        <f>Translations!$B$700</f>
        <v>Perduotasis / būdingasis CO2</v>
      </c>
      <c r="F289" s="1391"/>
      <c r="G289" s="1391"/>
      <c r="H289" s="1391"/>
      <c r="I289" s="1391"/>
      <c r="J289" s="1391"/>
      <c r="K289" s="1391"/>
      <c r="L289" s="1391"/>
      <c r="M289" s="1391"/>
      <c r="N289" s="1391"/>
      <c r="O289" s="737"/>
      <c r="P289" s="690"/>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1" customFormat="1" ht="4.5" hidden="1" customHeight="1">
      <c r="A290" s="809"/>
      <c r="B290" s="837"/>
      <c r="D290" s="9"/>
      <c r="E290" s="49"/>
      <c r="F290" s="49"/>
      <c r="G290" s="49"/>
      <c r="H290" s="49"/>
      <c r="I290" s="49"/>
      <c r="J290" s="49"/>
      <c r="K290" s="49"/>
      <c r="L290" s="49"/>
      <c r="M290" s="49"/>
      <c r="N290" s="49"/>
      <c r="O290" s="73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1" customFormat="1" ht="12.75" hidden="1" customHeight="1">
      <c r="A291" s="809"/>
      <c r="B291" s="837"/>
      <c r="D291" s="411" t="s">
        <v>4</v>
      </c>
      <c r="E291" s="413" t="str">
        <f>Translations!$B$170</f>
        <v>Įrenginio pavadinimas</v>
      </c>
      <c r="F291" s="390"/>
      <c r="G291" s="390"/>
      <c r="H291" s="390"/>
      <c r="I291" s="1582"/>
      <c r="J291" s="1582"/>
      <c r="K291" s="1582"/>
      <c r="L291" s="1582"/>
      <c r="M291" s="1582"/>
      <c r="N291" s="1582"/>
      <c r="O291" s="737"/>
      <c r="P291" s="23"/>
      <c r="Q291" s="1107"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1" customFormat="1" ht="12.75" hidden="1" customHeight="1">
      <c r="A292" s="809"/>
      <c r="B292" s="837"/>
      <c r="D292" s="411" t="s">
        <v>5</v>
      </c>
      <c r="E292" s="413" t="str">
        <f>Translations!$B$79</f>
        <v>Veiklos vykdytojo pavadinimas</v>
      </c>
      <c r="F292" s="390"/>
      <c r="G292" s="390"/>
      <c r="H292" s="390"/>
      <c r="I292" s="1582"/>
      <c r="J292" s="1582"/>
      <c r="K292" s="1582"/>
      <c r="L292" s="1582"/>
      <c r="M292" s="1582"/>
      <c r="N292" s="1582"/>
      <c r="O292" s="737"/>
      <c r="P292" s="23"/>
      <c r="Q292" s="1107"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1" customFormat="1" ht="12.75" hidden="1" customHeight="1">
      <c r="A293" s="809"/>
      <c r="B293" s="837"/>
      <c r="D293" s="411" t="s">
        <v>196</v>
      </c>
      <c r="E293" s="413" t="str">
        <f>Translations!$B$171</f>
        <v>Įrenginio unikalus ID</v>
      </c>
      <c r="F293" s="390"/>
      <c r="G293" s="390"/>
      <c r="H293" s="390"/>
      <c r="I293" s="1582"/>
      <c r="J293" s="1582"/>
      <c r="K293" s="1582"/>
      <c r="L293" s="1582"/>
      <c r="M293" s="1582"/>
      <c r="N293" s="1582"/>
      <c r="O293" s="737"/>
      <c r="P293" s="23"/>
      <c r="Q293" s="1107"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1" customFormat="1" ht="12.75" hidden="1" customHeight="1">
      <c r="A294" s="809"/>
      <c r="B294" s="837"/>
      <c r="D294" s="411" t="s">
        <v>197</v>
      </c>
      <c r="E294" s="413" t="str">
        <f>Translations!$B$169</f>
        <v>Perdavimo tipas</v>
      </c>
      <c r="F294" s="390"/>
      <c r="G294" s="390"/>
      <c r="H294" s="390"/>
      <c r="I294" s="1582"/>
      <c r="J294" s="1582"/>
      <c r="K294" s="1582"/>
      <c r="L294" s="1582"/>
      <c r="M294" s="1582"/>
      <c r="N294" s="1582"/>
      <c r="O294" s="73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1" customFormat="1" ht="4.5" hidden="1" customHeight="1">
      <c r="A295" s="809"/>
      <c r="B295" s="837"/>
      <c r="D295" s="9"/>
      <c r="E295" s="49"/>
      <c r="F295" s="49"/>
      <c r="G295" s="49"/>
      <c r="H295" s="49"/>
      <c r="I295" s="49"/>
      <c r="J295" s="49"/>
      <c r="K295" s="49"/>
      <c r="L295" s="49"/>
      <c r="M295" s="49"/>
      <c r="N295" s="49"/>
      <c r="O295" s="73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1" customFormat="1" ht="4.5" hidden="1" customHeight="1">
      <c r="A296" s="809"/>
      <c r="B296" s="837"/>
      <c r="D296" s="9"/>
      <c r="E296" s="49"/>
      <c r="F296" s="49"/>
      <c r="G296" s="49"/>
      <c r="H296" s="49"/>
      <c r="I296" s="49"/>
      <c r="J296" s="49"/>
      <c r="K296" s="49"/>
      <c r="L296" s="49"/>
      <c r="M296" s="49"/>
      <c r="N296" s="49"/>
      <c r="O296" s="73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1" customFormat="1" ht="12.75" hidden="1" customHeight="1">
      <c r="A297" s="809"/>
      <c r="B297" s="837"/>
      <c r="E297" s="1589" t="str">
        <f>Translations!$B$701</f>
        <v>Pastabos (pvz., patvirtinamųjų skaičiavimų aprašas arba ar trūksta didelės duomenų dalies):</v>
      </c>
      <c r="F297" s="1589"/>
      <c r="G297" s="1589"/>
      <c r="H297" s="1589"/>
      <c r="I297" s="1589"/>
      <c r="J297" s="1589"/>
      <c r="K297" s="1589"/>
      <c r="L297" s="1589"/>
      <c r="M297" s="1589"/>
      <c r="N297" s="1589"/>
      <c r="O297" s="73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1" customFormat="1" ht="12.75" hidden="1" customHeight="1">
      <c r="A298" s="809"/>
      <c r="B298" s="837"/>
      <c r="D298" s="10"/>
      <c r="E298" s="1583"/>
      <c r="F298" s="1584"/>
      <c r="G298" s="1584"/>
      <c r="H298" s="1584"/>
      <c r="I298" s="1584"/>
      <c r="J298" s="1584"/>
      <c r="K298" s="1584"/>
      <c r="L298" s="1584"/>
      <c r="M298" s="1584"/>
      <c r="N298" s="1585"/>
      <c r="O298" s="73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1" customFormat="1" ht="12.75" hidden="1" customHeight="1">
      <c r="A299" s="809"/>
      <c r="B299" s="837"/>
      <c r="D299" s="10"/>
      <c r="E299" s="1586"/>
      <c r="F299" s="1587"/>
      <c r="G299" s="1587"/>
      <c r="H299" s="1587"/>
      <c r="I299" s="1587"/>
      <c r="J299" s="1587"/>
      <c r="K299" s="1587"/>
      <c r="L299" s="1587"/>
      <c r="M299" s="1587"/>
      <c r="N299" s="1588"/>
      <c r="O299" s="73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hidden="1" customHeight="1" thickBot="1">
      <c r="A300" s="765"/>
      <c r="B300" s="793"/>
      <c r="C300" s="36"/>
      <c r="D300" s="37"/>
      <c r="E300" s="38"/>
      <c r="F300" s="36"/>
      <c r="G300" s="39"/>
      <c r="H300" s="39"/>
      <c r="I300" s="39"/>
      <c r="J300" s="39"/>
      <c r="K300" s="39"/>
      <c r="L300" s="39"/>
      <c r="M300" s="39"/>
      <c r="N300" s="39"/>
      <c r="O300" s="736"/>
      <c r="P300" s="1"/>
      <c r="S300" s="235"/>
      <c r="AK300" s="23"/>
    </row>
    <row r="301" spans="1:38" ht="12.75" hidden="1" customHeight="1" thickBot="1">
      <c r="A301" s="765"/>
      <c r="B301" s="836"/>
      <c r="C301" s="206"/>
      <c r="D301" s="6"/>
      <c r="E301" s="245"/>
      <c r="F301" s="245"/>
      <c r="G301" s="245"/>
      <c r="H301" s="245"/>
      <c r="I301" s="245"/>
      <c r="J301" s="245"/>
      <c r="K301" s="245"/>
      <c r="L301" s="245"/>
      <c r="M301" s="5"/>
      <c r="N301" s="5"/>
      <c r="O301" s="737"/>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hidden="1" customHeight="1" thickBot="1">
      <c r="A302" s="766"/>
      <c r="B302" s="790"/>
      <c r="C302" s="400">
        <f>C267+1</f>
        <v>9</v>
      </c>
      <c r="D302" s="401"/>
      <c r="E302" s="1545" t="str">
        <f>IF(ISBLANK(G302),"",IF(INDEX(B_InstallationDescription!$M$156:$M$165,MATCH(S302,B_InstallationDescription!$E$156:$E$165,0))&gt;0,INDEX(B_InstallationDescription!$M$156:$M$165,MATCH(S302,B_InstallationDescription!$E$156:$E$165,0)),""))</f>
        <v/>
      </c>
      <c r="F302" s="1546"/>
      <c r="G302" s="1542"/>
      <c r="H302" s="1543"/>
      <c r="I302" s="1543"/>
      <c r="J302" s="1544"/>
      <c r="M302" s="347" t="str">
        <f>Translations!$B$686</f>
        <v>Bendras deginant iškastinį kurą išmestas ŠESD kiekis:</v>
      </c>
      <c r="N302" s="1038" t="str">
        <f>IF(G302="","",M314*M318*M319*10^-3*(1-M316)*S329*R320)</f>
        <v/>
      </c>
      <c r="O302" s="741" t="s">
        <v>260</v>
      </c>
      <c r="P302" s="1"/>
      <c r="Q302" s="352" t="str">
        <f>EUconst_SumCO2 &amp; "_" &amp;E302</f>
        <v>SUM_CO2_</v>
      </c>
      <c r="R302" s="27" t="str">
        <f>IF(ISBLANK(G302),"",MATCH(G302,CNTR_MeasurementPoints,0))</f>
        <v/>
      </c>
      <c r="S302" s="27"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0"/>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0"/>
      <c r="AL302" s="32" t="b">
        <f>CNTR_MeasurementRelevant=EUconst_NotRelevant</f>
        <v>1</v>
      </c>
    </row>
    <row r="303" spans="1:38" s="391" customFormat="1" ht="15" hidden="1" customHeight="1" thickBot="1">
      <c r="A303" s="765"/>
      <c r="B303" s="789"/>
      <c r="C303" s="5"/>
      <c r="I303" s="24"/>
      <c r="J303" s="5"/>
      <c r="K303" s="5"/>
      <c r="L303" s="5"/>
      <c r="M303" s="346" t="str">
        <f>Translations!$B$687</f>
        <v>Bendras deginant biomasę išmestas ŠESD kiekis:</v>
      </c>
      <c r="N303" s="1037" t="str">
        <f>IF(G302="","",M314*M318*M319*10^-3*(M316)*S329*R320)</f>
        <v/>
      </c>
      <c r="O303" s="742" t="s">
        <v>260</v>
      </c>
      <c r="P303" s="1"/>
      <c r="Q303" s="353" t="str">
        <f>EUconst_SumBioCO2 &amp; "_" &amp; E302</f>
        <v>SUM_bioCO2_</v>
      </c>
      <c r="R303" s="23"/>
      <c r="S303" s="23"/>
      <c r="T303" s="23"/>
      <c r="U303" s="23"/>
      <c r="V303" s="23"/>
      <c r="W303" s="23"/>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3"/>
      <c r="AL303" s="23"/>
    </row>
    <row r="304" spans="1:38" ht="13.5" hidden="1" thickBot="1">
      <c r="A304" s="765"/>
      <c r="B304" s="1053"/>
      <c r="C304" s="832"/>
      <c r="D304" s="833"/>
      <c r="E304" s="831"/>
      <c r="F304" s="831"/>
      <c r="G304" s="831"/>
      <c r="H304" s="831"/>
      <c r="I304" s="831"/>
      <c r="J304" s="831"/>
      <c r="K304" s="831"/>
      <c r="L304" s="831"/>
      <c r="M304" s="831"/>
      <c r="N304" s="831"/>
      <c r="O304" s="736"/>
      <c r="P304" s="1"/>
      <c r="Q304" s="352" t="str">
        <f>EUconst_SumNonSustBioCO2 &amp; "_" &amp; K301</f>
        <v>SUM_bioNonSustCO2_</v>
      </c>
      <c r="R304" s="707" t="str">
        <f>IF(G302="","",ROUND(M314*M318*M319*10^-3*(1-M316)*M317*S329*R320,0))</f>
        <v/>
      </c>
      <c r="Y304" s="23"/>
      <c r="Z304" s="23"/>
      <c r="AA304" s="23"/>
      <c r="AB304" s="23"/>
      <c r="AC304" s="23"/>
      <c r="AD304" s="23"/>
      <c r="AE304" s="23"/>
      <c r="AF304" s="23"/>
      <c r="AG304" s="23"/>
      <c r="AH304" s="23"/>
      <c r="AI304" s="23"/>
      <c r="AJ304" s="23"/>
      <c r="AK304" s="23"/>
      <c r="AL304" s="23"/>
    </row>
    <row r="305" spans="1:38" ht="13.5" hidden="1" thickBot="1">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1"/>
      <c r="Q305" s="352" t="str">
        <f>EUconst_SumEnergyIN &amp; "_" &amp; K301</f>
        <v>SUM_EnergyIN_</v>
      </c>
      <c r="R305" s="707">
        <f>N305</f>
        <v>0</v>
      </c>
      <c r="Y305" s="23"/>
      <c r="Z305" s="23"/>
      <c r="AA305" s="23"/>
      <c r="AB305" s="23"/>
      <c r="AC305" s="23"/>
      <c r="AD305" s="23"/>
      <c r="AE305" s="23"/>
      <c r="AF305" s="23"/>
      <c r="AG305" s="23"/>
      <c r="AH305" s="23"/>
      <c r="AI305" s="23"/>
      <c r="AJ305" s="23"/>
      <c r="AK305" s="23"/>
      <c r="AL305" s="32" t="b">
        <f>AL310</f>
        <v>1</v>
      </c>
    </row>
    <row r="306" spans="1:38" ht="13.5" hidden="1" thickBot="1">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1"/>
      <c r="Q306" s="352" t="str">
        <f>EUconst_SumBioEnergyIN &amp; "_" &amp; K301</f>
        <v>SUM_BioEnergyIN_</v>
      </c>
      <c r="R306" s="707">
        <f>N306</f>
        <v>0</v>
      </c>
      <c r="Y306" s="23"/>
      <c r="Z306" s="23"/>
      <c r="AA306" s="23"/>
      <c r="AB306" s="23"/>
      <c r="AC306" s="23"/>
      <c r="AD306" s="23"/>
      <c r="AE306" s="23"/>
      <c r="AF306" s="23"/>
      <c r="AG306" s="23"/>
      <c r="AH306" s="23"/>
      <c r="AI306" s="23"/>
      <c r="AJ306" s="23"/>
      <c r="AK306" s="23"/>
      <c r="AL306" s="32" t="b">
        <f>AL305</f>
        <v>1</v>
      </c>
    </row>
    <row r="307" spans="1:38" s="391" customFormat="1" ht="4.5" hidden="1" customHeight="1">
      <c r="A307" s="809"/>
      <c r="B307" s="837"/>
      <c r="D307" s="153"/>
      <c r="K307" s="12"/>
      <c r="L307" s="12"/>
      <c r="M307" s="12"/>
      <c r="N307" s="12"/>
      <c r="O307" s="756"/>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1" customFormat="1" ht="12.75" hidden="1" customHeight="1">
      <c r="A308" s="809"/>
      <c r="B308" s="837"/>
      <c r="D308" s="9" t="s">
        <v>1</v>
      </c>
      <c r="E308" s="1391" t="str">
        <f>Translations!$B$690</f>
        <v>Skaičiavimai</v>
      </c>
      <c r="F308" s="1391"/>
      <c r="G308" s="1391"/>
      <c r="H308" s="1391"/>
      <c r="I308" s="1391"/>
      <c r="J308" s="1391"/>
      <c r="K308" s="1391"/>
      <c r="L308" s="1391"/>
      <c r="M308" s="1391"/>
      <c r="N308" s="1391"/>
      <c r="O308" s="756"/>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1" customFormat="1" ht="4.5" hidden="1" customHeight="1">
      <c r="A309" s="809"/>
      <c r="B309" s="837"/>
      <c r="D309" s="153"/>
      <c r="K309" s="12"/>
      <c r="L309" s="12"/>
      <c r="M309" s="12"/>
      <c r="N309" s="12"/>
      <c r="O309" s="756"/>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1" customFormat="1" ht="12.75" hidden="1" customHeight="1" thickBot="1">
      <c r="A310" s="809"/>
      <c r="B310" s="837"/>
      <c r="D310" s="9"/>
      <c r="E310" s="408" t="str">
        <f>Translations!$B$691</f>
        <v>Informacija apie susijusius sukėliklius, jeigu taikytina:</v>
      </c>
      <c r="F310" s="408"/>
      <c r="G310" s="408"/>
      <c r="H310" s="408"/>
      <c r="I310" s="408"/>
      <c r="J310" s="1590" t="str">
        <f>Translations!$B$692</f>
        <v>Patvirtinamųjų skaičiavimų rezultatas (iškastinis kuras):</v>
      </c>
      <c r="K310" s="1590"/>
      <c r="L310" s="1590"/>
      <c r="M310" s="1590"/>
      <c r="N310" s="1251"/>
      <c r="O310" s="73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1" customFormat="1" hidden="1">
      <c r="A311" s="809"/>
      <c r="B311" s="837"/>
      <c r="D311" s="9"/>
      <c r="E311" s="1591"/>
      <c r="F311" s="1592"/>
      <c r="G311" s="1592"/>
      <c r="H311" s="1592"/>
      <c r="I311" s="1593"/>
      <c r="J311" s="1590" t="str">
        <f>Translations!$B$693</f>
        <v>Patvirtinamųjų skaičiavimų rezultatas (biomasė):</v>
      </c>
      <c r="K311" s="1590"/>
      <c r="L311" s="1590"/>
      <c r="M311" s="1590"/>
      <c r="N311" s="1252"/>
      <c r="O311" s="737"/>
      <c r="P311" s="690"/>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1" customFormat="1" ht="4.5" hidden="1" customHeight="1">
      <c r="A312" s="809"/>
      <c r="B312" s="837"/>
      <c r="D312" s="9"/>
      <c r="E312" s="49"/>
      <c r="F312" s="49"/>
      <c r="G312" s="49"/>
      <c r="H312" s="49"/>
      <c r="I312" s="49"/>
      <c r="J312" s="49"/>
      <c r="K312" s="49"/>
      <c r="L312" s="49"/>
      <c r="M312" s="49"/>
      <c r="N312" s="49"/>
      <c r="O312" s="73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1" customFormat="1" ht="12.75" hidden="1" customHeight="1">
      <c r="A313" s="809"/>
      <c r="B313" s="837"/>
      <c r="I313" s="49"/>
      <c r="J313" s="49"/>
      <c r="K313" s="49"/>
      <c r="L313" s="825" t="str">
        <f>EUconst_Unit</f>
        <v>Vienetas</v>
      </c>
      <c r="M313" s="825"/>
      <c r="O313" s="737"/>
      <c r="P313" s="690"/>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1" customFormat="1" ht="12.75" hidden="1" customHeight="1" thickBot="1">
      <c r="A314" s="809"/>
      <c r="B314" s="837"/>
      <c r="E314" s="21"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1" customFormat="1" ht="12.75" hidden="1" customHeight="1">
      <c r="A315" s="809"/>
      <c r="B315" s="837"/>
      <c r="F315" s="481" t="str">
        <f>IF(OR(ISBLANK(F314),F314=EUconst_NoTier),"",IF(R316=EUconst_NA,EUconst_NA,IF(ISERROR(R316),"",R316)))</f>
        <v/>
      </c>
      <c r="G315" s="411"/>
      <c r="H315" s="404"/>
      <c r="I315" s="390"/>
      <c r="J315" s="390"/>
      <c r="K315" s="390"/>
      <c r="M315" s="153"/>
      <c r="O315" s="737"/>
      <c r="P315" s="23"/>
      <c r="Q315" s="1"/>
      <c r="R315" s="693"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1" customFormat="1" ht="12.75" hidden="1" customHeight="1">
      <c r="A316" s="809"/>
      <c r="B316" s="837"/>
      <c r="D316" s="206"/>
      <c r="G316" s="411" t="s">
        <v>5</v>
      </c>
      <c r="H316" s="404" t="str">
        <f>Translations!$B$682</f>
        <v>Biomasės dalis:</v>
      </c>
      <c r="I316" s="298"/>
      <c r="J316" s="298"/>
      <c r="K316" s="298"/>
      <c r="L316" s="843" t="s">
        <v>261</v>
      </c>
      <c r="M316" s="844"/>
      <c r="O316" s="737"/>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1" customFormat="1" ht="12.75" hidden="1" customHeight="1">
      <c r="A317" s="809"/>
      <c r="B317" s="837"/>
      <c r="D317" s="206"/>
      <c r="G317" s="411" t="s">
        <v>196</v>
      </c>
      <c r="H317" s="921" t="str">
        <f>Translations!$B$683</f>
        <v>netvarios biomasės dalis:</v>
      </c>
      <c r="I317" s="300"/>
      <c r="J317" s="300"/>
      <c r="K317" s="300"/>
      <c r="L317" s="922" t="s">
        <v>261</v>
      </c>
      <c r="M317" s="923"/>
      <c r="O317" s="737"/>
      <c r="P317" s="23"/>
      <c r="Q317" s="1"/>
      <c r="R317" s="693"/>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1" customFormat="1" ht="12.75" hidden="1" customHeight="1">
      <c r="A318" s="809"/>
      <c r="B318" s="837"/>
      <c r="E318" s="22"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1" customFormat="1" ht="12.75" hidden="1" customHeight="1" thickBot="1">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1" customFormat="1" ht="12.75" hidden="1" customHeight="1" thickBot="1">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1" customFormat="1" ht="4.5" hidden="1" customHeight="1">
      <c r="A321" s="809"/>
      <c r="B321" s="837"/>
      <c r="D321" s="826"/>
      <c r="E321" s="206"/>
      <c r="F321" s="206"/>
      <c r="G321" s="206"/>
      <c r="H321" s="206"/>
      <c r="I321" s="206"/>
      <c r="J321" s="206"/>
      <c r="K321" s="206"/>
      <c r="L321" s="206"/>
      <c r="M321" s="6"/>
      <c r="O321" s="737"/>
      <c r="P321" s="23"/>
      <c r="Q321" s="23"/>
      <c r="R321" s="693"/>
      <c r="S321" s="23"/>
      <c r="T321" s="23"/>
      <c r="U321" s="23"/>
      <c r="V321" s="23"/>
      <c r="W321" s="23"/>
      <c r="X321" s="23"/>
      <c r="Y321" s="23"/>
      <c r="Z321" s="23"/>
      <c r="AA321" s="23"/>
      <c r="AB321" s="23"/>
      <c r="AC321" s="23"/>
      <c r="AD321" s="23"/>
      <c r="AE321" s="23"/>
      <c r="AF321" s="23"/>
      <c r="AG321" s="23"/>
      <c r="AH321" s="23"/>
      <c r="AI321" s="23"/>
      <c r="AJ321" s="23"/>
      <c r="AK321" s="23"/>
      <c r="AL321" s="23"/>
    </row>
    <row r="322" spans="1:38" s="391" customFormat="1" ht="12.75" hidden="1" customHeight="1" thickBot="1">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3"/>
      <c r="Q322" s="23"/>
      <c r="R322" s="693"/>
      <c r="S322" s="23"/>
      <c r="T322" s="23"/>
      <c r="U322" s="23"/>
      <c r="V322" s="23"/>
      <c r="W322" s="23"/>
      <c r="X322" s="23"/>
      <c r="Y322" s="23"/>
      <c r="Z322" s="23"/>
      <c r="AA322" s="23"/>
      <c r="AB322" s="23"/>
      <c r="AC322" s="23"/>
      <c r="AD322" s="23"/>
      <c r="AE322" s="23"/>
      <c r="AF322" s="23"/>
      <c r="AG322" s="23"/>
      <c r="AH322" s="23"/>
      <c r="AI322" s="23"/>
      <c r="AJ322" s="23"/>
      <c r="AK322" s="23"/>
      <c r="AL322" s="23"/>
    </row>
    <row r="323" spans="1:38" s="391" customFormat="1" ht="4.5" hidden="1" customHeight="1">
      <c r="A323" s="809"/>
      <c r="B323" s="837"/>
      <c r="D323" s="826"/>
      <c r="E323" s="206"/>
      <c r="F323" s="206"/>
      <c r="G323" s="206"/>
      <c r="H323" s="206"/>
      <c r="I323" s="206"/>
      <c r="J323" s="206"/>
      <c r="K323" s="206"/>
      <c r="L323" s="206"/>
      <c r="M323" s="206"/>
      <c r="N323" s="206"/>
      <c r="O323" s="737"/>
      <c r="P323" s="23"/>
      <c r="Q323" s="23"/>
      <c r="R323" s="693"/>
      <c r="S323" s="23"/>
      <c r="T323" s="23"/>
      <c r="U323" s="23"/>
      <c r="V323" s="23"/>
      <c r="W323" s="23"/>
      <c r="X323" s="23"/>
      <c r="Y323" s="23"/>
      <c r="Z323" s="23"/>
      <c r="AA323" s="23"/>
      <c r="AB323" s="23"/>
      <c r="AC323" s="23"/>
      <c r="AD323" s="23"/>
      <c r="AE323" s="23"/>
      <c r="AF323" s="23"/>
      <c r="AG323" s="23"/>
      <c r="AH323" s="23"/>
      <c r="AI323" s="23"/>
      <c r="AJ323" s="23"/>
      <c r="AK323" s="23"/>
      <c r="AL323" s="23"/>
    </row>
    <row r="324" spans="1:38" s="391" customFormat="1" ht="12.75" hidden="1" customHeight="1">
      <c r="A324" s="809"/>
      <c r="B324" s="837"/>
      <c r="D324" s="9" t="s">
        <v>2</v>
      </c>
      <c r="E324" s="1391" t="str">
        <f>Translations!$B$700</f>
        <v>Perduotasis / būdingasis CO2</v>
      </c>
      <c r="F324" s="1391"/>
      <c r="G324" s="1391"/>
      <c r="H324" s="1391"/>
      <c r="I324" s="1391"/>
      <c r="J324" s="1391"/>
      <c r="K324" s="1391"/>
      <c r="L324" s="1391"/>
      <c r="M324" s="1391"/>
      <c r="N324" s="1391"/>
      <c r="O324" s="737"/>
      <c r="P324" s="690"/>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1" customFormat="1" ht="4.5" hidden="1" customHeight="1">
      <c r="A325" s="809"/>
      <c r="B325" s="837"/>
      <c r="D325" s="9"/>
      <c r="E325" s="49"/>
      <c r="F325" s="49"/>
      <c r="G325" s="49"/>
      <c r="H325" s="49"/>
      <c r="I325" s="49"/>
      <c r="J325" s="49"/>
      <c r="K325" s="49"/>
      <c r="L325" s="49"/>
      <c r="M325" s="49"/>
      <c r="N325" s="49"/>
      <c r="O325" s="73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1" customFormat="1" ht="0.75" hidden="1" customHeight="1">
      <c r="A326" s="809"/>
      <c r="B326" s="837"/>
      <c r="D326" s="411" t="s">
        <v>4</v>
      </c>
      <c r="E326" s="413" t="str">
        <f>Translations!$B$170</f>
        <v>Įrenginio pavadinimas</v>
      </c>
      <c r="F326" s="390"/>
      <c r="G326" s="390"/>
      <c r="H326" s="390"/>
      <c r="I326" s="1582"/>
      <c r="J326" s="1582"/>
      <c r="K326" s="1582"/>
      <c r="L326" s="1582"/>
      <c r="M326" s="1582"/>
      <c r="N326" s="1582"/>
      <c r="O326" s="737"/>
      <c r="P326" s="23"/>
      <c r="Q326" s="1107"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1" customFormat="1" ht="12.75" hidden="1" customHeight="1">
      <c r="A327" s="809"/>
      <c r="B327" s="837"/>
      <c r="D327" s="411" t="s">
        <v>5</v>
      </c>
      <c r="E327" s="413" t="str">
        <f>Translations!$B$79</f>
        <v>Veiklos vykdytojo pavadinimas</v>
      </c>
      <c r="F327" s="390"/>
      <c r="G327" s="390"/>
      <c r="H327" s="390"/>
      <c r="I327" s="1582"/>
      <c r="J327" s="1582"/>
      <c r="K327" s="1582"/>
      <c r="L327" s="1582"/>
      <c r="M327" s="1582"/>
      <c r="N327" s="1582"/>
      <c r="O327" s="737"/>
      <c r="P327" s="23"/>
      <c r="Q327" s="1107"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1" customFormat="1" ht="12.75" hidden="1" customHeight="1">
      <c r="A328" s="809"/>
      <c r="B328" s="837"/>
      <c r="D328" s="411" t="s">
        <v>196</v>
      </c>
      <c r="E328" s="413" t="str">
        <f>Translations!$B$171</f>
        <v>Įrenginio unikalus ID</v>
      </c>
      <c r="F328" s="390"/>
      <c r="G328" s="390"/>
      <c r="H328" s="390"/>
      <c r="I328" s="1582"/>
      <c r="J328" s="1582"/>
      <c r="K328" s="1582"/>
      <c r="L328" s="1582"/>
      <c r="M328" s="1582"/>
      <c r="N328" s="1582"/>
      <c r="O328" s="737"/>
      <c r="P328" s="23"/>
      <c r="Q328" s="1107"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1" customFormat="1" ht="12.75" hidden="1" customHeight="1">
      <c r="A329" s="809"/>
      <c r="B329" s="837"/>
      <c r="D329" s="411" t="s">
        <v>197</v>
      </c>
      <c r="E329" s="413" t="str">
        <f>Translations!$B$169</f>
        <v>Perdavimo tipas</v>
      </c>
      <c r="F329" s="390"/>
      <c r="G329" s="390"/>
      <c r="H329" s="390"/>
      <c r="I329" s="1582"/>
      <c r="J329" s="1582"/>
      <c r="K329" s="1582"/>
      <c r="L329" s="1582"/>
      <c r="M329" s="1582"/>
      <c r="N329" s="1582"/>
      <c r="O329" s="73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1" customFormat="1" ht="4.5" hidden="1" customHeight="1">
      <c r="A330" s="809"/>
      <c r="B330" s="837"/>
      <c r="D330" s="9"/>
      <c r="E330" s="49"/>
      <c r="F330" s="49"/>
      <c r="G330" s="49"/>
      <c r="H330" s="49"/>
      <c r="I330" s="49"/>
      <c r="J330" s="49"/>
      <c r="K330" s="49"/>
      <c r="L330" s="49"/>
      <c r="M330" s="49"/>
      <c r="N330" s="49"/>
      <c r="O330" s="73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1" customFormat="1" ht="4.5" hidden="1" customHeight="1">
      <c r="A331" s="809"/>
      <c r="B331" s="837"/>
      <c r="D331" s="9"/>
      <c r="E331" s="49"/>
      <c r="F331" s="49"/>
      <c r="G331" s="49"/>
      <c r="H331" s="49"/>
      <c r="I331" s="49"/>
      <c r="J331" s="49"/>
      <c r="K331" s="49"/>
      <c r="L331" s="49"/>
      <c r="M331" s="49"/>
      <c r="N331" s="49"/>
      <c r="O331" s="73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1" customFormat="1" ht="12.75" hidden="1" customHeight="1">
      <c r="A332" s="809"/>
      <c r="B332" s="837"/>
      <c r="E332" s="1589" t="str">
        <f>Translations!$B$701</f>
        <v>Pastabos (pvz., patvirtinamųjų skaičiavimų aprašas arba ar trūksta didelės duomenų dalies):</v>
      </c>
      <c r="F332" s="1589"/>
      <c r="G332" s="1589"/>
      <c r="H332" s="1589"/>
      <c r="I332" s="1589"/>
      <c r="J332" s="1589"/>
      <c r="K332" s="1589"/>
      <c r="L332" s="1589"/>
      <c r="M332" s="1589"/>
      <c r="N332" s="1589"/>
      <c r="O332" s="73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1" customFormat="1" ht="12.75" hidden="1" customHeight="1">
      <c r="A333" s="809"/>
      <c r="B333" s="837"/>
      <c r="D333" s="10"/>
      <c r="E333" s="1583"/>
      <c r="F333" s="1584"/>
      <c r="G333" s="1584"/>
      <c r="H333" s="1584"/>
      <c r="I333" s="1584"/>
      <c r="J333" s="1584"/>
      <c r="K333" s="1584"/>
      <c r="L333" s="1584"/>
      <c r="M333" s="1584"/>
      <c r="N333" s="1585"/>
      <c r="O333" s="73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1" customFormat="1" ht="12.75" hidden="1" customHeight="1">
      <c r="A334" s="809"/>
      <c r="B334" s="837"/>
      <c r="D334" s="10"/>
      <c r="E334" s="1586"/>
      <c r="F334" s="1587"/>
      <c r="G334" s="1587"/>
      <c r="H334" s="1587"/>
      <c r="I334" s="1587"/>
      <c r="J334" s="1587"/>
      <c r="K334" s="1587"/>
      <c r="L334" s="1587"/>
      <c r="M334" s="1587"/>
      <c r="N334" s="1588"/>
      <c r="O334" s="73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hidden="1" customHeight="1" thickBot="1">
      <c r="A335" s="765"/>
      <c r="B335" s="793"/>
      <c r="C335" s="36"/>
      <c r="D335" s="37"/>
      <c r="E335" s="38"/>
      <c r="F335" s="36"/>
      <c r="G335" s="39"/>
      <c r="H335" s="39"/>
      <c r="I335" s="39"/>
      <c r="J335" s="39"/>
      <c r="K335" s="39"/>
      <c r="L335" s="39"/>
      <c r="M335" s="39"/>
      <c r="N335" s="39"/>
      <c r="O335" s="736"/>
      <c r="P335" s="1"/>
      <c r="S335" s="235"/>
      <c r="AK335" s="23"/>
    </row>
    <row r="336" spans="1:38" ht="12.75" hidden="1" customHeight="1" thickBot="1">
      <c r="A336" s="765"/>
      <c r="B336" s="836"/>
      <c r="C336" s="206"/>
      <c r="D336" s="6"/>
      <c r="E336" s="245"/>
      <c r="F336" s="245"/>
      <c r="G336" s="245"/>
      <c r="H336" s="245"/>
      <c r="I336" s="245"/>
      <c r="J336" s="245"/>
      <c r="K336" s="245"/>
      <c r="L336" s="245"/>
      <c r="M336" s="5"/>
      <c r="N336" s="5"/>
      <c r="O336" s="737"/>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hidden="1" customHeight="1" thickBot="1">
      <c r="A337" s="766"/>
      <c r="B337" s="790"/>
      <c r="C337" s="400">
        <f>C302+1</f>
        <v>10</v>
      </c>
      <c r="D337" s="401"/>
      <c r="E337" s="1545" t="str">
        <f>IF(ISBLANK(G337),"",IF(INDEX(B_InstallationDescription!$M$156:$M$165,MATCH(S337,B_InstallationDescription!$E$156:$E$165,0))&gt;0,INDEX(B_InstallationDescription!$M$156:$M$165,MATCH(S337,B_InstallationDescription!$E$156:$E$165,0)),""))</f>
        <v/>
      </c>
      <c r="F337" s="1546"/>
      <c r="G337" s="1542"/>
      <c r="H337" s="1543"/>
      <c r="I337" s="1543"/>
      <c r="J337" s="1544"/>
      <c r="M337" s="347" t="str">
        <f>Translations!$B$686</f>
        <v>Bendras deginant iškastinį kurą išmestas ŠESD kiekis:</v>
      </c>
      <c r="N337" s="1038" t="str">
        <f>IF(G337="","",M349*M353*M354*10^-3*(1-M351)*S364*R355)</f>
        <v/>
      </c>
      <c r="O337" s="741" t="s">
        <v>260</v>
      </c>
      <c r="P337" s="1"/>
      <c r="Q337" s="352" t="str">
        <f>EUconst_SumCO2 &amp; "_" &amp;E337</f>
        <v>SUM_CO2_</v>
      </c>
      <c r="R337" s="27" t="str">
        <f>IF(ISBLANK(G337),"",MATCH(G337,CNTR_MeasurementPoints,0))</f>
        <v/>
      </c>
      <c r="S337" s="27"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0"/>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0"/>
      <c r="AL337" s="32" t="b">
        <f>CNTR_MeasurementRelevant=EUconst_NotRelevant</f>
        <v>1</v>
      </c>
    </row>
    <row r="338" spans="1:38" s="391" customFormat="1" ht="15" hidden="1" customHeight="1" thickBot="1">
      <c r="A338" s="765"/>
      <c r="B338" s="789"/>
      <c r="C338" s="5"/>
      <c r="I338" s="24"/>
      <c r="J338" s="5"/>
      <c r="K338" s="5"/>
      <c r="L338" s="5"/>
      <c r="M338" s="346" t="str">
        <f>Translations!$B$687</f>
        <v>Bendras deginant biomasę išmestas ŠESD kiekis:</v>
      </c>
      <c r="N338" s="1037" t="str">
        <f>IF(G337="","",M349*M353*M354*10^-3*(M351)*S364*R355)</f>
        <v/>
      </c>
      <c r="O338" s="742" t="s">
        <v>260</v>
      </c>
      <c r="P338" s="1"/>
      <c r="Q338" s="353" t="str">
        <f>EUconst_SumBioCO2 &amp; "_" &amp; E337</f>
        <v>SUM_bioCO2_</v>
      </c>
      <c r="R338" s="23"/>
      <c r="S338" s="23"/>
      <c r="T338" s="23"/>
      <c r="U338" s="23"/>
      <c r="V338" s="23"/>
      <c r="W338" s="23"/>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3"/>
      <c r="AL338" s="23"/>
    </row>
    <row r="339" spans="1:38" ht="13.5" hidden="1" thickBot="1">
      <c r="A339" s="765"/>
      <c r="B339" s="1053"/>
      <c r="C339" s="832"/>
      <c r="D339" s="833"/>
      <c r="E339" s="831"/>
      <c r="F339" s="831"/>
      <c r="G339" s="831"/>
      <c r="H339" s="831"/>
      <c r="I339" s="831"/>
      <c r="J339" s="831"/>
      <c r="K339" s="831"/>
      <c r="L339" s="831"/>
      <c r="M339" s="831"/>
      <c r="N339" s="831"/>
      <c r="O339" s="736"/>
      <c r="P339" s="1"/>
      <c r="Q339" s="352" t="str">
        <f>EUconst_SumNonSustBioCO2 &amp; "_" &amp; K336</f>
        <v>SUM_bioNonSustCO2_</v>
      </c>
      <c r="R339" s="707" t="str">
        <f>IF(G337="","",ROUND(M349*M353*M354*10^-3*(1-M351)*M352*S364*R355,0))</f>
        <v/>
      </c>
      <c r="Y339" s="23"/>
      <c r="Z339" s="23"/>
      <c r="AA339" s="23"/>
      <c r="AB339" s="23"/>
      <c r="AC339" s="23"/>
      <c r="AD339" s="23"/>
      <c r="AE339" s="23"/>
      <c r="AF339" s="23"/>
      <c r="AG339" s="23"/>
      <c r="AH339" s="23"/>
      <c r="AI339" s="23"/>
      <c r="AJ339" s="23"/>
      <c r="AK339" s="23"/>
      <c r="AL339" s="23"/>
    </row>
    <row r="340" spans="1:38" ht="13.5" hidden="1" thickBot="1">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1"/>
      <c r="Q340" s="352" t="str">
        <f>EUconst_SumEnergyIN &amp; "_" &amp; K336</f>
        <v>SUM_EnergyIN_</v>
      </c>
      <c r="R340" s="707">
        <f>N340</f>
        <v>0</v>
      </c>
      <c r="Y340" s="23"/>
      <c r="Z340" s="23"/>
      <c r="AA340" s="23"/>
      <c r="AB340" s="23"/>
      <c r="AC340" s="23"/>
      <c r="AD340" s="23"/>
      <c r="AE340" s="23"/>
      <c r="AF340" s="23"/>
      <c r="AG340" s="23"/>
      <c r="AH340" s="23"/>
      <c r="AI340" s="23"/>
      <c r="AJ340" s="23"/>
      <c r="AK340" s="23"/>
      <c r="AL340" s="32" t="b">
        <f>AL345</f>
        <v>1</v>
      </c>
    </row>
    <row r="341" spans="1:38" ht="13.5" hidden="1" thickBot="1">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1"/>
      <c r="Q341" s="352" t="str">
        <f>EUconst_SumBioEnergyIN &amp; "_" &amp; K336</f>
        <v>SUM_BioEnergyIN_</v>
      </c>
      <c r="R341" s="707">
        <f>N341</f>
        <v>0</v>
      </c>
      <c r="Y341" s="23"/>
      <c r="Z341" s="23"/>
      <c r="AA341" s="23"/>
      <c r="AB341" s="23"/>
      <c r="AC341" s="23"/>
      <c r="AD341" s="23"/>
      <c r="AE341" s="23"/>
      <c r="AF341" s="23"/>
      <c r="AG341" s="23"/>
      <c r="AH341" s="23"/>
      <c r="AI341" s="23"/>
      <c r="AJ341" s="23"/>
      <c r="AK341" s="23"/>
      <c r="AL341" s="32" t="b">
        <f>AL340</f>
        <v>1</v>
      </c>
    </row>
    <row r="342" spans="1:38" s="391" customFormat="1" ht="4.5" hidden="1" customHeight="1">
      <c r="A342" s="809"/>
      <c r="B342" s="837"/>
      <c r="D342" s="153"/>
      <c r="K342" s="12"/>
      <c r="L342" s="12"/>
      <c r="M342" s="12"/>
      <c r="N342" s="12"/>
      <c r="O342" s="756"/>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1" customFormat="1" ht="12.75" hidden="1" customHeight="1">
      <c r="A343" s="809"/>
      <c r="B343" s="837"/>
      <c r="D343" s="9" t="s">
        <v>1</v>
      </c>
      <c r="E343" s="1391" t="str">
        <f>Translations!$B$690</f>
        <v>Skaičiavimai</v>
      </c>
      <c r="F343" s="1391"/>
      <c r="G343" s="1391"/>
      <c r="H343" s="1391"/>
      <c r="I343" s="1391"/>
      <c r="J343" s="1391"/>
      <c r="K343" s="1391"/>
      <c r="L343" s="1391"/>
      <c r="M343" s="1391"/>
      <c r="N343" s="1391"/>
      <c r="O343" s="756"/>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1" customFormat="1" ht="4.5" hidden="1" customHeight="1">
      <c r="A344" s="809"/>
      <c r="B344" s="837"/>
      <c r="D344" s="153"/>
      <c r="K344" s="12"/>
      <c r="L344" s="12"/>
      <c r="M344" s="12"/>
      <c r="N344" s="12"/>
      <c r="O344" s="756"/>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1" customFormat="1" ht="12.75" hidden="1" customHeight="1" thickBot="1">
      <c r="A345" s="809"/>
      <c r="B345" s="837"/>
      <c r="D345" s="9"/>
      <c r="E345" s="408" t="str">
        <f>Translations!$B$691</f>
        <v>Informacija apie susijusius sukėliklius, jeigu taikytina:</v>
      </c>
      <c r="F345" s="408"/>
      <c r="G345" s="408"/>
      <c r="H345" s="408"/>
      <c r="I345" s="408"/>
      <c r="J345" s="1590" t="str">
        <f>Translations!$B$692</f>
        <v>Patvirtinamųjų skaičiavimų rezultatas (iškastinis kuras):</v>
      </c>
      <c r="K345" s="1590"/>
      <c r="L345" s="1590"/>
      <c r="M345" s="1590"/>
      <c r="N345" s="1251"/>
      <c r="O345" s="73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1" customFormat="1" hidden="1">
      <c r="A346" s="809"/>
      <c r="B346" s="837"/>
      <c r="D346" s="9"/>
      <c r="E346" s="1591"/>
      <c r="F346" s="1592"/>
      <c r="G346" s="1592"/>
      <c r="H346" s="1592"/>
      <c r="I346" s="1593"/>
      <c r="J346" s="1590" t="str">
        <f>Translations!$B$693</f>
        <v>Patvirtinamųjų skaičiavimų rezultatas (biomasė):</v>
      </c>
      <c r="K346" s="1590"/>
      <c r="L346" s="1590"/>
      <c r="M346" s="1590"/>
      <c r="N346" s="1252"/>
      <c r="O346" s="737"/>
      <c r="P346" s="690"/>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1" customFormat="1" ht="5.0999999999999996" hidden="1" customHeight="1">
      <c r="A347" s="809"/>
      <c r="B347" s="837"/>
      <c r="D347" s="9"/>
      <c r="E347" s="49"/>
      <c r="F347" s="49"/>
      <c r="G347" s="49"/>
      <c r="H347" s="49"/>
      <c r="I347" s="49"/>
      <c r="J347" s="49"/>
      <c r="K347" s="49"/>
      <c r="L347" s="49"/>
      <c r="M347" s="49"/>
      <c r="N347" s="49"/>
      <c r="O347" s="73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1" customFormat="1" ht="12.75" hidden="1" customHeight="1">
      <c r="A348" s="809"/>
      <c r="B348" s="837"/>
      <c r="I348" s="49"/>
      <c r="J348" s="49"/>
      <c r="K348" s="49"/>
      <c r="L348" s="825" t="str">
        <f>EUconst_Unit</f>
        <v>Vienetas</v>
      </c>
      <c r="M348" s="825"/>
      <c r="O348" s="737"/>
      <c r="P348" s="690"/>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1" customFormat="1" ht="12.75" hidden="1" customHeight="1" thickBot="1">
      <c r="A349" s="809"/>
      <c r="B349" s="837"/>
      <c r="E349" s="21"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1" customFormat="1" ht="12.75" hidden="1" customHeight="1">
      <c r="A350" s="809"/>
      <c r="B350" s="837"/>
      <c r="F350" s="481" t="str">
        <f>IF(OR(ISBLANK(F349),F349=EUconst_NoTier),"",IF(R351=EUconst_NA,EUconst_NA,IF(ISERROR(R351),"",R351)))</f>
        <v/>
      </c>
      <c r="G350" s="411"/>
      <c r="H350" s="404"/>
      <c r="I350" s="390"/>
      <c r="J350" s="390"/>
      <c r="K350" s="390"/>
      <c r="M350" s="153"/>
      <c r="O350" s="737"/>
      <c r="P350" s="23"/>
      <c r="Q350" s="1"/>
      <c r="R350" s="693"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1" customFormat="1" ht="12.75" hidden="1" customHeight="1">
      <c r="A351" s="809"/>
      <c r="B351" s="837"/>
      <c r="D351" s="206"/>
      <c r="G351" s="411" t="s">
        <v>5</v>
      </c>
      <c r="H351" s="404" t="str">
        <f>Translations!$B$682</f>
        <v>Biomasės dalis:</v>
      </c>
      <c r="I351" s="298"/>
      <c r="J351" s="298"/>
      <c r="K351" s="298"/>
      <c r="L351" s="843" t="s">
        <v>261</v>
      </c>
      <c r="M351" s="844"/>
      <c r="O351" s="737"/>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1" customFormat="1" ht="0.75" hidden="1" customHeight="1">
      <c r="A352" s="809"/>
      <c r="B352" s="837"/>
      <c r="D352" s="206"/>
      <c r="G352" s="411" t="s">
        <v>196</v>
      </c>
      <c r="H352" s="921" t="str">
        <f>Translations!$B$683</f>
        <v>netvarios biomasės dalis:</v>
      </c>
      <c r="I352" s="300"/>
      <c r="J352" s="300"/>
      <c r="K352" s="300"/>
      <c r="L352" s="922" t="s">
        <v>261</v>
      </c>
      <c r="M352" s="923"/>
      <c r="O352" s="737"/>
      <c r="P352" s="23"/>
      <c r="Q352" s="1"/>
      <c r="R352" s="693"/>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1" customFormat="1" ht="12.75" hidden="1" customHeight="1">
      <c r="A353" s="809"/>
      <c r="B353" s="837"/>
      <c r="E353" s="22"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1" customFormat="1" ht="12.75" hidden="1" customHeight="1" thickBot="1">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1" customFormat="1" ht="12.75" hidden="1" customHeight="1" thickBot="1">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1" customFormat="1" ht="4.5" hidden="1" customHeight="1">
      <c r="A356" s="809"/>
      <c r="B356" s="837"/>
      <c r="D356" s="826"/>
      <c r="E356" s="206"/>
      <c r="F356" s="206"/>
      <c r="G356" s="206"/>
      <c r="H356" s="206"/>
      <c r="I356" s="206"/>
      <c r="J356" s="206"/>
      <c r="K356" s="206"/>
      <c r="L356" s="206"/>
      <c r="M356" s="6"/>
      <c r="O356" s="737"/>
      <c r="P356" s="23"/>
      <c r="Q356" s="23"/>
      <c r="R356" s="693"/>
      <c r="S356" s="23"/>
      <c r="T356" s="23"/>
      <c r="U356" s="23"/>
      <c r="V356" s="23"/>
      <c r="W356" s="23"/>
      <c r="X356" s="23"/>
      <c r="Y356" s="23"/>
      <c r="Z356" s="23"/>
      <c r="AA356" s="23"/>
      <c r="AB356" s="23"/>
      <c r="AC356" s="23"/>
      <c r="AD356" s="23"/>
      <c r="AE356" s="23"/>
      <c r="AF356" s="23"/>
      <c r="AG356" s="23"/>
      <c r="AH356" s="23"/>
      <c r="AI356" s="23"/>
      <c r="AJ356" s="23"/>
      <c r="AK356" s="23"/>
      <c r="AL356" s="23"/>
    </row>
    <row r="357" spans="1:38" s="391" customFormat="1" ht="12.75" hidden="1" customHeight="1" thickBot="1">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3"/>
      <c r="Q357" s="23"/>
      <c r="R357" s="693"/>
      <c r="S357" s="23"/>
      <c r="T357" s="23"/>
      <c r="U357" s="23"/>
      <c r="V357" s="23"/>
      <c r="W357" s="23"/>
      <c r="X357" s="23"/>
      <c r="Y357" s="23"/>
      <c r="Z357" s="23"/>
      <c r="AA357" s="23"/>
      <c r="AB357" s="23"/>
      <c r="AC357" s="23"/>
      <c r="AD357" s="23"/>
      <c r="AE357" s="23"/>
      <c r="AF357" s="23"/>
      <c r="AG357" s="23"/>
      <c r="AH357" s="23"/>
      <c r="AI357" s="23"/>
      <c r="AJ357" s="23"/>
      <c r="AK357" s="23"/>
      <c r="AL357" s="23"/>
    </row>
    <row r="358" spans="1:38" s="391" customFormat="1" ht="4.5" hidden="1" customHeight="1">
      <c r="A358" s="809"/>
      <c r="B358" s="837"/>
      <c r="D358" s="826"/>
      <c r="E358" s="206"/>
      <c r="F358" s="206"/>
      <c r="G358" s="206"/>
      <c r="H358" s="206"/>
      <c r="I358" s="206"/>
      <c r="J358" s="206"/>
      <c r="K358" s="206"/>
      <c r="L358" s="206"/>
      <c r="M358" s="206"/>
      <c r="N358" s="206"/>
      <c r="O358" s="737"/>
      <c r="P358" s="23"/>
      <c r="Q358" s="23"/>
      <c r="R358" s="693"/>
      <c r="S358" s="23"/>
      <c r="T358" s="23"/>
      <c r="U358" s="23"/>
      <c r="V358" s="23"/>
      <c r="W358" s="23"/>
      <c r="X358" s="23"/>
      <c r="Y358" s="23"/>
      <c r="Z358" s="23"/>
      <c r="AA358" s="23"/>
      <c r="AB358" s="23"/>
      <c r="AC358" s="23"/>
      <c r="AD358" s="23"/>
      <c r="AE358" s="23"/>
      <c r="AF358" s="23"/>
      <c r="AG358" s="23"/>
      <c r="AH358" s="23"/>
      <c r="AI358" s="23"/>
      <c r="AJ358" s="23"/>
      <c r="AK358" s="23"/>
      <c r="AL358" s="23"/>
    </row>
    <row r="359" spans="1:38" s="391" customFormat="1" ht="12.75" hidden="1" customHeight="1">
      <c r="A359" s="809"/>
      <c r="B359" s="837"/>
      <c r="D359" s="9" t="s">
        <v>2</v>
      </c>
      <c r="E359" s="1391" t="str">
        <f>Translations!$B$700</f>
        <v>Perduotasis / būdingasis CO2</v>
      </c>
      <c r="F359" s="1391"/>
      <c r="G359" s="1391"/>
      <c r="H359" s="1391"/>
      <c r="I359" s="1391"/>
      <c r="J359" s="1391"/>
      <c r="K359" s="1391"/>
      <c r="L359" s="1391"/>
      <c r="M359" s="1391"/>
      <c r="N359" s="1391"/>
      <c r="O359" s="737"/>
      <c r="P359" s="690"/>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1" customFormat="1" ht="4.5" hidden="1" customHeight="1">
      <c r="A360" s="809"/>
      <c r="B360" s="837"/>
      <c r="D360" s="9"/>
      <c r="E360" s="49"/>
      <c r="F360" s="49"/>
      <c r="G360" s="49"/>
      <c r="H360" s="49"/>
      <c r="I360" s="49"/>
      <c r="J360" s="49"/>
      <c r="K360" s="49"/>
      <c r="L360" s="49"/>
      <c r="M360" s="49"/>
      <c r="N360" s="49"/>
      <c r="O360" s="73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1" customFormat="1" ht="12.75" hidden="1" customHeight="1">
      <c r="A361" s="809"/>
      <c r="B361" s="837"/>
      <c r="D361" s="411" t="s">
        <v>4</v>
      </c>
      <c r="E361" s="413" t="str">
        <f>Translations!$B$170</f>
        <v>Įrenginio pavadinimas</v>
      </c>
      <c r="F361" s="390"/>
      <c r="G361" s="390"/>
      <c r="H361" s="390"/>
      <c r="I361" s="1582"/>
      <c r="J361" s="1582"/>
      <c r="K361" s="1582"/>
      <c r="L361" s="1582"/>
      <c r="M361" s="1582"/>
      <c r="N361" s="1582"/>
      <c r="O361" s="737"/>
      <c r="P361" s="23"/>
      <c r="Q361" s="1107"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1" customFormat="1" ht="12.75" hidden="1" customHeight="1">
      <c r="A362" s="809"/>
      <c r="B362" s="837"/>
      <c r="D362" s="411" t="s">
        <v>5</v>
      </c>
      <c r="E362" s="413" t="str">
        <f>Translations!$B$79</f>
        <v>Veiklos vykdytojo pavadinimas</v>
      </c>
      <c r="F362" s="390"/>
      <c r="G362" s="390"/>
      <c r="H362" s="390"/>
      <c r="I362" s="1582"/>
      <c r="J362" s="1582"/>
      <c r="K362" s="1582"/>
      <c r="L362" s="1582"/>
      <c r="M362" s="1582"/>
      <c r="N362" s="1582"/>
      <c r="O362" s="737"/>
      <c r="P362" s="23"/>
      <c r="Q362" s="1107"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1" customFormat="1" ht="12.75" hidden="1" customHeight="1">
      <c r="A363" s="809"/>
      <c r="B363" s="837"/>
      <c r="D363" s="411" t="s">
        <v>196</v>
      </c>
      <c r="E363" s="413" t="str">
        <f>Translations!$B$171</f>
        <v>Įrenginio unikalus ID</v>
      </c>
      <c r="F363" s="390"/>
      <c r="G363" s="390"/>
      <c r="H363" s="390"/>
      <c r="I363" s="1582"/>
      <c r="J363" s="1582"/>
      <c r="K363" s="1582"/>
      <c r="L363" s="1582"/>
      <c r="M363" s="1582"/>
      <c r="N363" s="1582"/>
      <c r="O363" s="737"/>
      <c r="P363" s="23"/>
      <c r="Q363" s="1107"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1" customFormat="1" ht="12.75" hidden="1" customHeight="1">
      <c r="A364" s="809"/>
      <c r="B364" s="837"/>
      <c r="D364" s="411" t="s">
        <v>197</v>
      </c>
      <c r="E364" s="413" t="str">
        <f>Translations!$B$169</f>
        <v>Perdavimo tipas</v>
      </c>
      <c r="F364" s="390"/>
      <c r="G364" s="390"/>
      <c r="H364" s="390"/>
      <c r="I364" s="1582"/>
      <c r="J364" s="1582"/>
      <c r="K364" s="1582"/>
      <c r="L364" s="1582"/>
      <c r="M364" s="1582"/>
      <c r="N364" s="1582"/>
      <c r="O364" s="73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1" customFormat="1" ht="4.5" hidden="1" customHeight="1">
      <c r="A365" s="809"/>
      <c r="B365" s="837"/>
      <c r="D365" s="9"/>
      <c r="E365" s="49"/>
      <c r="F365" s="49"/>
      <c r="G365" s="49"/>
      <c r="H365" s="49"/>
      <c r="I365" s="49"/>
      <c r="J365" s="49"/>
      <c r="K365" s="49"/>
      <c r="L365" s="49"/>
      <c r="M365" s="49"/>
      <c r="N365" s="49"/>
      <c r="O365" s="73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1" customFormat="1" ht="5.0999999999999996" hidden="1" customHeight="1">
      <c r="A366" s="809"/>
      <c r="B366" s="837"/>
      <c r="D366" s="9"/>
      <c r="E366" s="49"/>
      <c r="F366" s="49"/>
      <c r="G366" s="49"/>
      <c r="H366" s="49"/>
      <c r="I366" s="49"/>
      <c r="J366" s="49"/>
      <c r="K366" s="49"/>
      <c r="L366" s="49"/>
      <c r="M366" s="49"/>
      <c r="N366" s="49"/>
      <c r="O366" s="73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1" customFormat="1" ht="12.75" hidden="1" customHeight="1">
      <c r="A367" s="809"/>
      <c r="B367" s="837"/>
      <c r="E367" s="1589" t="str">
        <f>Translations!$B$701</f>
        <v>Pastabos (pvz., patvirtinamųjų skaičiavimų aprašas arba ar trūksta didelės duomenų dalies):</v>
      </c>
      <c r="F367" s="1589"/>
      <c r="G367" s="1589"/>
      <c r="H367" s="1589"/>
      <c r="I367" s="1589"/>
      <c r="J367" s="1589"/>
      <c r="K367" s="1589"/>
      <c r="L367" s="1589"/>
      <c r="M367" s="1589"/>
      <c r="N367" s="1589"/>
      <c r="O367" s="73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1" customFormat="1" ht="12.75" hidden="1" customHeight="1">
      <c r="A368" s="809"/>
      <c r="B368" s="837"/>
      <c r="D368" s="10"/>
      <c r="E368" s="1583"/>
      <c r="F368" s="1584"/>
      <c r="G368" s="1584"/>
      <c r="H368" s="1584"/>
      <c r="I368" s="1584"/>
      <c r="J368" s="1584"/>
      <c r="K368" s="1584"/>
      <c r="L368" s="1584"/>
      <c r="M368" s="1584"/>
      <c r="N368" s="1585"/>
      <c r="O368" s="73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1" customFormat="1" ht="12.75" hidden="1" customHeight="1">
      <c r="A369" s="809"/>
      <c r="B369" s="837"/>
      <c r="D369" s="10"/>
      <c r="E369" s="1586"/>
      <c r="F369" s="1587"/>
      <c r="G369" s="1587"/>
      <c r="H369" s="1587"/>
      <c r="I369" s="1587"/>
      <c r="J369" s="1587"/>
      <c r="K369" s="1587"/>
      <c r="L369" s="1587"/>
      <c r="M369" s="1587"/>
      <c r="N369" s="1588"/>
      <c r="O369" s="73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hidden="1" customHeight="1" thickBot="1">
      <c r="A370" s="765"/>
      <c r="B370" s="793"/>
      <c r="C370" s="36"/>
      <c r="D370" s="37"/>
      <c r="E370" s="38"/>
      <c r="F370" s="36"/>
      <c r="G370" s="39"/>
      <c r="H370" s="39"/>
      <c r="I370" s="39"/>
      <c r="J370" s="39"/>
      <c r="K370" s="39"/>
      <c r="L370" s="39"/>
      <c r="M370" s="39"/>
      <c r="N370" s="39"/>
      <c r="O370" s="736"/>
      <c r="P370" s="1"/>
      <c r="S370" s="235"/>
      <c r="AK370" s="23"/>
    </row>
    <row r="371" spans="1:39" ht="12.75" hidden="1" customHeight="1">
      <c r="A371" s="765"/>
      <c r="B371" s="793"/>
      <c r="C371" s="206"/>
      <c r="D371" s="6"/>
      <c r="E371" s="206"/>
      <c r="F371" s="206"/>
      <c r="G371" s="206"/>
      <c r="H371" s="206"/>
      <c r="I371" s="206"/>
      <c r="J371" s="206"/>
      <c r="K371" s="206"/>
      <c r="L371" s="206"/>
      <c r="M371" s="206"/>
      <c r="N371" s="206"/>
      <c r="O371" s="736"/>
      <c r="P371" s="1"/>
      <c r="S371" s="235"/>
    </row>
    <row r="372" spans="1:39" ht="15" hidden="1" customHeight="1">
      <c r="A372" s="765"/>
      <c r="B372" s="836"/>
      <c r="C372" s="267"/>
      <c r="D372" s="274"/>
      <c r="E372" s="267"/>
      <c r="F372" s="1365" t="str">
        <f>EUconst_MsgNextSheet</f>
        <v xml:space="preserve">&lt;&lt;&lt; Į kitą lapą pereisite paspaudę čia &gt;&gt;&gt; </v>
      </c>
      <c r="G372" s="1365"/>
      <c r="H372" s="1365"/>
      <c r="I372" s="1365"/>
      <c r="J372" s="1365"/>
      <c r="K372" s="1365"/>
      <c r="L372" s="1365"/>
      <c r="M372" s="267"/>
      <c r="N372" s="267"/>
      <c r="O372" s="734"/>
      <c r="P372" s="1"/>
      <c r="S372" s="235"/>
    </row>
    <row r="373" spans="1:39" ht="13.5" hidden="1" thickBot="1">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c r="A375" s="56"/>
      <c r="B375" s="250"/>
      <c r="C375" s="250"/>
      <c r="D375" s="266"/>
      <c r="E375" s="266"/>
      <c r="F375" s="266"/>
      <c r="G375" s="266"/>
      <c r="H375" s="266"/>
      <c r="I375" s="266"/>
      <c r="J375" s="266"/>
      <c r="K375" s="250"/>
      <c r="L375" s="250"/>
      <c r="M375" s="250"/>
      <c r="N375" s="250"/>
      <c r="O375" s="266"/>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1"/>
    </row>
    <row r="376" spans="1:39" ht="12.75" hidden="1" customHeight="1">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200"/>
    </row>
    <row r="377" spans="1:39" ht="13.5" hidden="1" thickBot="1">
      <c r="A377" s="47" t="s">
        <v>87</v>
      </c>
      <c r="B377" s="7"/>
      <c r="C377" s="7"/>
      <c r="D377" s="141"/>
      <c r="E377" s="7"/>
      <c r="F377" s="7"/>
      <c r="G377" s="7"/>
      <c r="H377" s="7"/>
      <c r="I377" s="7"/>
      <c r="J377" s="7"/>
      <c r="K377" s="7"/>
      <c r="L377" s="7"/>
      <c r="M377" s="7"/>
      <c r="N377" s="7"/>
      <c r="O377" s="7"/>
    </row>
    <row r="378" spans="1:39" ht="12.75" hidden="1" customHeight="1">
      <c r="A378" s="47" t="s">
        <v>87</v>
      </c>
      <c r="B378" s="250"/>
      <c r="C378" s="250"/>
      <c r="D378" s="250"/>
      <c r="E378" s="250"/>
      <c r="F378" s="622"/>
      <c r="G378" s="623"/>
      <c r="H378" s="623"/>
      <c r="I378" s="623" t="s">
        <v>74</v>
      </c>
      <c r="J378" s="623"/>
      <c r="K378" s="623"/>
      <c r="L378" s="623"/>
      <c r="M378" s="633" t="s">
        <v>437</v>
      </c>
      <c r="N378" s="250"/>
      <c r="O378" s="267"/>
    </row>
    <row r="379" spans="1:39" s="202" customFormat="1" hidden="1">
      <c r="A379" s="1"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c r="A380" s="1"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c r="A381" s="1" t="s">
        <v>87</v>
      </c>
      <c r="F381" s="625">
        <v>3</v>
      </c>
      <c r="G381" s="621" t="str">
        <f t="shared" si="0"/>
        <v>netaik.</v>
      </c>
      <c r="H381" s="620" t="str">
        <f>IF(G381=EUconst_NA,"",MAX($H$378:H380)+1)</f>
        <v/>
      </c>
      <c r="I381" s="631" t="str">
        <f t="shared" si="1"/>
        <v/>
      </c>
      <c r="J381" s="620"/>
      <c r="K381" s="620"/>
      <c r="L381" s="620"/>
      <c r="M381" s="626"/>
      <c r="N381" s="7"/>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c r="A382" s="1"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c r="A383" s="1"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c r="A384" s="1"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c r="A385" s="1"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c r="A386" s="1"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c r="A387" s="1"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c r="A388" s="1"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sheetPr codeName="Tabelle9">
    <tabColor indexed="10"/>
    <pageSetUpPr fitToPage="1"/>
  </sheetPr>
  <dimension ref="A1:Y56"/>
  <sheetViews>
    <sheetView topLeftCell="B1" zoomScaleNormal="100" workbookViewId="0">
      <pane ySplit="4" topLeftCell="A44" activePane="bottomLeft" state="frozen"/>
      <selection activeCell="B2" sqref="B2"/>
      <selection pane="bottomLeft" activeCell="I2" sqref="I2:J2"/>
    </sheetView>
  </sheetViews>
  <sheetFormatPr defaultColWidth="11.42578125" defaultRowHeight="12.75"/>
  <cols>
    <col min="1" max="1" width="3.42578125" style="59" hidden="1" customWidth="1"/>
    <col min="2" max="2" width="3.42578125" style="59" customWidth="1"/>
    <col min="3" max="4" width="4.7109375" style="59" customWidth="1"/>
    <col min="5" max="14" width="12.7109375" style="59" customWidth="1"/>
    <col min="15" max="15" width="7.7109375" style="206" customWidth="1"/>
    <col min="16" max="16" width="15.7109375" style="59" hidden="1" customWidth="1"/>
    <col min="17" max="25" width="12.7109375" style="45" hidden="1" customWidth="1"/>
    <col min="26" max="16384" width="11.42578125" style="59"/>
  </cols>
  <sheetData>
    <row r="1" spans="1:25" ht="13.5" hidden="1" thickBot="1">
      <c r="A1" s="758" t="s">
        <v>87</v>
      </c>
      <c r="B1" s="759"/>
      <c r="C1" s="759"/>
      <c r="D1" s="762"/>
      <c r="E1" s="759"/>
      <c r="F1" s="759"/>
      <c r="G1" s="759"/>
      <c r="H1" s="759"/>
      <c r="I1" s="759"/>
      <c r="J1" s="759"/>
      <c r="K1" s="759"/>
      <c r="L1" s="759"/>
      <c r="M1" s="759"/>
      <c r="N1" s="759"/>
      <c r="O1" s="763"/>
      <c r="P1" s="59" t="s">
        <v>87</v>
      </c>
      <c r="Q1" s="45" t="s">
        <v>87</v>
      </c>
      <c r="R1" s="45" t="s">
        <v>87</v>
      </c>
      <c r="S1" s="45" t="s">
        <v>87</v>
      </c>
      <c r="T1" s="45" t="s">
        <v>87</v>
      </c>
      <c r="U1" s="45" t="s">
        <v>87</v>
      </c>
      <c r="V1" s="45" t="s">
        <v>87</v>
      </c>
      <c r="W1" s="45" t="s">
        <v>87</v>
      </c>
      <c r="X1" s="45" t="s">
        <v>87</v>
      </c>
      <c r="Y1" s="45" t="s">
        <v>87</v>
      </c>
    </row>
    <row r="2" spans="1:25" ht="13.5" customHeight="1" thickBot="1">
      <c r="A2" s="764"/>
      <c r="B2" s="1404" t="str">
        <f>Translations!$B$702</f>
        <v>E. Fall-back approaches (Alternatyvūs metodai)</v>
      </c>
      <c r="C2" s="1574"/>
      <c r="D2" s="1575"/>
      <c r="E2" s="1386" t="str">
        <f>Translations!$B$23</f>
        <v>Naršymo laukas</v>
      </c>
      <c r="F2" s="1364"/>
      <c r="G2" s="1366" t="str">
        <f>Translations!$B$24</f>
        <v>Turinys</v>
      </c>
      <c r="H2" s="1367"/>
      <c r="I2" s="1366" t="str">
        <f>Translations!$B$25</f>
        <v>Ankstesnis lapas</v>
      </c>
      <c r="J2" s="1367"/>
      <c r="K2" s="1366" t="str">
        <f>Translations!$B$26</f>
        <v>Kitas lapas</v>
      </c>
      <c r="L2" s="1367"/>
      <c r="M2" s="1366"/>
      <c r="N2" s="1367"/>
      <c r="O2" s="864"/>
    </row>
    <row r="3" spans="1:25" ht="12.75" customHeight="1">
      <c r="A3" s="764"/>
      <c r="B3" s="1576"/>
      <c r="C3" s="1577"/>
      <c r="D3" s="1578"/>
      <c r="E3" s="1359" t="str">
        <f>Translations!$B$27</f>
        <v>Lapo viršus</v>
      </c>
      <c r="F3" s="1359"/>
      <c r="G3" s="1359"/>
      <c r="H3" s="1359"/>
      <c r="I3" s="1359"/>
      <c r="J3" s="1359"/>
      <c r="K3" s="1359"/>
      <c r="L3" s="1359"/>
      <c r="M3" s="1359"/>
      <c r="N3" s="1359"/>
      <c r="O3" s="732"/>
    </row>
    <row r="4" spans="1:25" ht="13.5" customHeight="1" thickBot="1">
      <c r="A4" s="764"/>
      <c r="B4" s="1579"/>
      <c r="C4" s="1580"/>
      <c r="D4" s="1581"/>
      <c r="E4" s="1359" t="str">
        <f>Translations!$B$28</f>
        <v>Lapo galas</v>
      </c>
      <c r="F4" s="1359"/>
      <c r="G4" s="1599"/>
      <c r="H4" s="1359"/>
      <c r="I4" s="1359"/>
      <c r="J4" s="1359"/>
      <c r="K4" s="1359"/>
      <c r="L4" s="1359"/>
      <c r="M4" s="1359"/>
      <c r="N4" s="1359"/>
      <c r="O4" s="732"/>
    </row>
    <row r="5" spans="1:25" ht="12.75" customHeight="1" thickBot="1">
      <c r="A5" s="765"/>
      <c r="B5" s="789"/>
      <c r="C5" s="4"/>
      <c r="D5" s="6"/>
      <c r="E5" s="5"/>
      <c r="F5" s="6"/>
      <c r="G5" s="6"/>
      <c r="H5" s="6"/>
      <c r="I5" s="5"/>
      <c r="J5" s="5"/>
      <c r="K5" s="5"/>
      <c r="L5" s="5"/>
      <c r="M5" s="344"/>
      <c r="N5" s="344"/>
      <c r="O5" s="732"/>
    </row>
    <row r="6" spans="1:25" s="140" customFormat="1" ht="25.5" customHeight="1" thickBot="1">
      <c r="A6" s="766"/>
      <c r="B6" s="790"/>
      <c r="C6" s="1398" t="str">
        <f>Translations!$B$703</f>
        <v>E. Alternatyvūs metodai</v>
      </c>
      <c r="D6" s="1398"/>
      <c r="E6" s="1398"/>
      <c r="F6" s="1398"/>
      <c r="G6" s="1398"/>
      <c r="H6" s="1398"/>
      <c r="I6" s="1398"/>
      <c r="J6" s="1398"/>
      <c r="K6" s="1398"/>
      <c r="L6" s="1571" t="str">
        <f>IF(CNTR_InstHasFallBack=TRUE,EUconst_Relevant,IF(COUNTA(CNTR_ListRelevantSections)&gt;0,EUconst_NotRelevant,EUconst_Relevant))</f>
        <v>nesvarbu</v>
      </c>
      <c r="M6" s="1572"/>
      <c r="N6" s="1573"/>
      <c r="O6" s="733"/>
      <c r="Q6" s="967" t="s">
        <v>91</v>
      </c>
      <c r="R6" s="244"/>
      <c r="S6" s="244"/>
      <c r="T6" s="244"/>
      <c r="U6" s="244"/>
      <c r="V6" s="244"/>
      <c r="W6" s="244"/>
      <c r="X6" s="244"/>
      <c r="Y6" s="244"/>
    </row>
    <row r="7" spans="1:25" s="140" customFormat="1" ht="5.0999999999999996" customHeight="1">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c r="A8" s="765"/>
      <c r="B8" s="791"/>
      <c r="C8" s="206"/>
      <c r="D8" s="6"/>
      <c r="E8" s="206"/>
      <c r="F8" s="206"/>
      <c r="G8" s="206"/>
      <c r="H8" s="206"/>
      <c r="I8" s="206"/>
      <c r="J8" s="206"/>
      <c r="K8" s="1507" t="str">
        <f>IF(L6=EUconst_NotRelevant,HYPERLINK("#JUMP_14",EUconst_MsgNextSheet),HYPERLINK("",EUconst_MsgEnterThisSection))</f>
        <v xml:space="preserve">&lt;&lt;&lt; Į kitą lapą pereisite paspaudę čia &gt;&gt;&gt; </v>
      </c>
      <c r="L8" s="1507"/>
      <c r="M8" s="1507"/>
      <c r="N8" s="1507"/>
      <c r="O8" s="734"/>
    </row>
    <row r="9" spans="1:25" ht="5.0999999999999996" customHeight="1">
      <c r="A9" s="823"/>
      <c r="B9" s="835"/>
      <c r="C9" s="9"/>
      <c r="D9" s="824"/>
      <c r="E9" s="265"/>
      <c r="F9" s="201"/>
      <c r="G9" s="265"/>
      <c r="H9" s="265"/>
      <c r="I9" s="265"/>
      <c r="J9" s="265"/>
      <c r="K9" s="265"/>
      <c r="L9" s="265"/>
      <c r="M9" s="265"/>
      <c r="N9" s="265"/>
      <c r="O9" s="743"/>
    </row>
    <row r="10" spans="1:25" s="28" customFormat="1" ht="18.75" customHeight="1">
      <c r="A10" s="808"/>
      <c r="B10" s="842"/>
      <c r="C10" s="717">
        <v>10</v>
      </c>
      <c r="D10" s="1512" t="str">
        <f>Translations!$B$704</f>
        <v>Išmetamųjų ŠESD kiekio nustatymas taikant alternatyvius metodus</v>
      </c>
      <c r="E10" s="1512"/>
      <c r="F10" s="1512"/>
      <c r="G10" s="1512"/>
      <c r="H10" s="1512"/>
      <c r="I10" s="1512"/>
      <c r="J10" s="1512"/>
      <c r="K10" s="1512"/>
      <c r="L10" s="1512"/>
      <c r="M10" s="1512"/>
      <c r="N10" s="1512"/>
      <c r="O10" s="735"/>
      <c r="P10" s="59"/>
      <c r="Q10" s="56"/>
      <c r="R10" s="56"/>
      <c r="S10" s="56"/>
      <c r="T10" s="58"/>
      <c r="U10" s="58"/>
      <c r="V10" s="58"/>
      <c r="W10" s="58"/>
      <c r="X10" s="58"/>
      <c r="Y10" s="58"/>
    </row>
    <row r="11" spans="1:25" s="28" customFormat="1" ht="12.75" customHeight="1">
      <c r="A11" s="808"/>
      <c r="B11" s="842"/>
      <c r="C11" s="832"/>
      <c r="D11" s="832"/>
      <c r="E11" s="832"/>
      <c r="F11" s="832"/>
      <c r="G11" s="832"/>
      <c r="H11" s="832"/>
      <c r="I11" s="832"/>
      <c r="J11" s="832"/>
      <c r="K11" s="832"/>
      <c r="L11" s="832"/>
      <c r="M11" s="832"/>
      <c r="N11" s="832"/>
      <c r="O11" s="735"/>
      <c r="P11" s="59"/>
      <c r="Q11" s="56"/>
      <c r="R11" s="56"/>
      <c r="S11" s="56"/>
      <c r="T11" s="58"/>
      <c r="U11" s="58"/>
      <c r="V11" s="58"/>
      <c r="W11" s="58"/>
      <c r="X11" s="58"/>
      <c r="Y11" s="58"/>
    </row>
    <row r="12" spans="1:25" s="391" customFormat="1" ht="12.75" customHeight="1">
      <c r="A12" s="809"/>
      <c r="B12" s="837"/>
      <c r="C12" s="142"/>
      <c r="D12" s="1595" t="str">
        <f>Translations!$B$686</f>
        <v>Bendras deginant iškastinį kurą išmestas ŠESD kiekis:</v>
      </c>
      <c r="E12" s="1595"/>
      <c r="F12" s="1554" t="str">
        <f>Translations!$B$705</f>
        <v>Ši vertė turėtų būti susijusi su visu išmetamųjų ŠESD kiekiu, atitinkančiu šias sąlygas:</v>
      </c>
      <c r="G12" s="1554"/>
      <c r="H12" s="1554"/>
      <c r="I12" s="1554"/>
      <c r="J12" s="1554"/>
      <c r="K12" s="1554"/>
      <c r="L12" s="1554"/>
      <c r="M12" s="1554"/>
      <c r="N12" s="1554"/>
      <c r="O12" s="737"/>
      <c r="P12" s="59"/>
      <c r="Q12" s="151"/>
      <c r="R12" s="151"/>
      <c r="S12" s="23"/>
      <c r="T12" s="23"/>
      <c r="U12" s="23"/>
      <c r="V12" s="23"/>
      <c r="W12" s="23"/>
      <c r="X12" s="23"/>
      <c r="Y12" s="23"/>
    </row>
    <row r="13" spans="1:25" s="391" customFormat="1" ht="12.75" customHeight="1">
      <c r="A13" s="809"/>
      <c r="B13" s="837"/>
      <c r="C13" s="142"/>
      <c r="D13" s="1596"/>
      <c r="E13" s="1596"/>
      <c r="F13" s="241" t="s">
        <v>261</v>
      </c>
      <c r="G13" s="1494" t="str">
        <f>Translations!$B$706</f>
        <v>išmetamųjų ŠESD šaltinis yra iškastinis kuras arba medžiagos, įskaitant iškastinio kuro dalį mišriose medžiagose, sudarytose iš iškastinio kuro ir biomasės;</v>
      </c>
      <c r="H13" s="1494"/>
      <c r="I13" s="1494"/>
      <c r="J13" s="1494"/>
      <c r="K13" s="1494"/>
      <c r="L13" s="1494"/>
      <c r="M13" s="1494"/>
      <c r="N13" s="1494"/>
      <c r="O13" s="737"/>
      <c r="P13" s="59"/>
      <c r="Q13" s="151"/>
      <c r="R13" s="151"/>
      <c r="S13" s="23"/>
      <c r="T13" s="23"/>
      <c r="U13" s="23"/>
      <c r="V13" s="23"/>
      <c r="W13" s="23"/>
      <c r="X13" s="23"/>
      <c r="Y13" s="23"/>
    </row>
    <row r="14" spans="1:25" s="391" customFormat="1" ht="12.75" customHeight="1">
      <c r="A14" s="809"/>
      <c r="B14" s="837"/>
      <c r="C14" s="142"/>
      <c r="D14" s="964"/>
      <c r="E14" s="236"/>
      <c r="F14" s="239" t="s">
        <v>261</v>
      </c>
      <c r="G14" s="1494" t="str">
        <f>Translations!$B$707</f>
        <v>išmetamųjų ŠESD šaltinis yra biomasė, kuriai taikomi tvarumo kriterijai ir kuri tų kriterijų neatitinka.</v>
      </c>
      <c r="H14" s="1494"/>
      <c r="I14" s="1494"/>
      <c r="J14" s="1494"/>
      <c r="K14" s="1494"/>
      <c r="L14" s="1494"/>
      <c r="M14" s="1494"/>
      <c r="N14" s="1494"/>
      <c r="O14" s="737"/>
      <c r="P14" s="59"/>
      <c r="Q14" s="151"/>
      <c r="R14" s="151"/>
      <c r="S14" s="23"/>
      <c r="T14" s="23"/>
      <c r="U14" s="23"/>
      <c r="V14" s="23"/>
      <c r="W14" s="23"/>
      <c r="X14" s="23"/>
      <c r="Y14" s="23"/>
    </row>
    <row r="15" spans="1:25" s="391" customFormat="1" ht="12.75" customHeight="1">
      <c r="A15" s="809"/>
      <c r="B15" s="837"/>
      <c r="C15" s="142"/>
      <c r="D15" s="1595" t="str">
        <f>Translations!$B$687</f>
        <v>Bendras deginant biomasę išmestas ŠESD kiekis:</v>
      </c>
      <c r="E15" s="1595"/>
      <c r="F15" s="1554" t="str">
        <f>Translations!$B$643</f>
        <v>Ši vertė turėtų būti susijusi su visa biomase, atitinkančia šias sąlygas:</v>
      </c>
      <c r="G15" s="1554"/>
      <c r="H15" s="1554"/>
      <c r="I15" s="1554"/>
      <c r="J15" s="1554"/>
      <c r="K15" s="1554"/>
      <c r="L15" s="1554"/>
      <c r="M15" s="1554"/>
      <c r="N15" s="1554"/>
      <c r="O15" s="737"/>
      <c r="P15" s="59"/>
      <c r="Q15" s="151"/>
      <c r="R15" s="151"/>
      <c r="S15" s="23"/>
      <c r="T15" s="23"/>
      <c r="U15" s="23"/>
      <c r="V15" s="23"/>
      <c r="W15" s="23"/>
      <c r="X15" s="23"/>
      <c r="Y15" s="23"/>
    </row>
    <row r="16" spans="1:25" s="391" customFormat="1" ht="12.75" customHeight="1">
      <c r="A16" s="809"/>
      <c r="B16" s="837"/>
      <c r="C16" s="142"/>
      <c r="D16" s="1596"/>
      <c r="E16" s="1596"/>
      <c r="F16" s="241" t="s">
        <v>261</v>
      </c>
      <c r="G16" s="1494" t="str">
        <f>Translations!$B$644</f>
        <v>jai netaikomi tvarumo kriterijai (pvz., jeigu tai kietasis kuras) ARBA</v>
      </c>
      <c r="H16" s="1494"/>
      <c r="I16" s="1494"/>
      <c r="J16" s="1494"/>
      <c r="K16" s="1494"/>
      <c r="L16" s="1494"/>
      <c r="M16" s="1494"/>
      <c r="N16" s="1494"/>
      <c r="O16" s="737"/>
      <c r="P16" s="59"/>
      <c r="Q16" s="151"/>
      <c r="R16" s="151"/>
      <c r="S16" s="23"/>
      <c r="T16" s="23"/>
      <c r="U16" s="23"/>
      <c r="V16" s="23"/>
      <c r="W16" s="23"/>
      <c r="X16" s="23"/>
      <c r="Y16" s="23"/>
    </row>
    <row r="17" spans="1:25" s="391" customFormat="1" ht="12.75" customHeight="1">
      <c r="A17" s="809"/>
      <c r="B17" s="837"/>
      <c r="C17" s="142"/>
      <c r="D17" s="964"/>
      <c r="E17" s="236"/>
      <c r="F17" s="239" t="s">
        <v>261</v>
      </c>
      <c r="G17" s="1552" t="str">
        <f>Translations!$B$645</f>
        <v>jai taikomi tvarumo kriterijai ir ji tuos kriterijus atitinka.</v>
      </c>
      <c r="H17" s="1552"/>
      <c r="I17" s="1552"/>
      <c r="J17" s="1552"/>
      <c r="K17" s="1552"/>
      <c r="L17" s="1552"/>
      <c r="M17" s="1552"/>
      <c r="N17" s="1552"/>
      <c r="O17" s="737"/>
      <c r="P17" s="59"/>
      <c r="Q17" s="151"/>
      <c r="R17" s="151"/>
      <c r="S17" s="23"/>
      <c r="T17" s="23"/>
      <c r="U17" s="23"/>
      <c r="V17" s="23"/>
      <c r="W17" s="23"/>
      <c r="X17" s="23"/>
      <c r="Y17" s="23"/>
    </row>
    <row r="18" spans="1:25" s="391" customFormat="1" ht="25.5" customHeight="1">
      <c r="A18" s="809"/>
      <c r="B18" s="837"/>
      <c r="C18" s="142"/>
      <c r="D18" s="1606" t="str">
        <f>Translations!$B$688</f>
        <v>Bendra iškastinio kuro energetinė vertė:</v>
      </c>
      <c r="E18" s="1607"/>
      <c r="F18" s="1567" t="str">
        <f>Translations!$B$708</f>
        <v>Ši vertė turėtų būti susijusi tik su iškastinio kuro išteklių, įtraukiamų skaičiuojant „bendrą deginant biomasę išmestą ŠESD kiekį“, energetine verte.</v>
      </c>
      <c r="G18" s="1567"/>
      <c r="H18" s="1567"/>
      <c r="I18" s="1567"/>
      <c r="J18" s="1567"/>
      <c r="K18" s="1567"/>
      <c r="L18" s="1567"/>
      <c r="M18" s="1567"/>
      <c r="N18" s="1567"/>
      <c r="O18" s="737"/>
      <c r="P18" s="59"/>
      <c r="Q18" s="151"/>
      <c r="R18" s="151"/>
      <c r="S18" s="23"/>
      <c r="T18" s="23"/>
      <c r="U18" s="23"/>
      <c r="V18" s="23"/>
      <c r="W18" s="23"/>
      <c r="X18" s="23"/>
      <c r="Y18" s="23"/>
    </row>
    <row r="19" spans="1:25" s="391" customFormat="1" ht="25.5" customHeight="1">
      <c r="A19" s="809"/>
      <c r="B19" s="837"/>
      <c r="C19" s="142"/>
      <c r="D19" s="1607" t="str">
        <f>Translations!$B$689</f>
        <v>Bendra biomasės energetinė vertė:</v>
      </c>
      <c r="E19" s="1607"/>
      <c r="F19" s="1567" t="str">
        <f>Translations!$B$709</f>
        <v>Ši vertė turėtų būti susijusi tik su biomasės, įtraukiamos skaičiuojant „bendrą deginant biomasę išmestą ŠESD kiekį“, t. y. ne biomasės, kuriai taikomi tvarumo kriterijai ir kuri tų kriterijų neatitinka, energetine verte.</v>
      </c>
      <c r="G19" s="1567"/>
      <c r="H19" s="1567"/>
      <c r="I19" s="1567"/>
      <c r="J19" s="1567"/>
      <c r="K19" s="1567"/>
      <c r="L19" s="1567"/>
      <c r="M19" s="1567"/>
      <c r="N19" s="1567"/>
      <c r="O19" s="737"/>
      <c r="P19" s="59"/>
      <c r="Q19" s="151"/>
      <c r="R19" s="151"/>
      <c r="S19" s="23"/>
      <c r="T19" s="23"/>
      <c r="U19" s="23"/>
      <c r="V19" s="23"/>
      <c r="W19" s="23"/>
      <c r="X19" s="23"/>
      <c r="Y19" s="23"/>
    </row>
    <row r="20" spans="1:25" s="391" customFormat="1" ht="38.85" customHeight="1">
      <c r="A20" s="809"/>
      <c r="B20" s="837"/>
      <c r="C20" s="142"/>
      <c r="D20" s="1607" t="str">
        <f>Translations!$B$710</f>
        <v>Bendras deginant netvarią biomasę išmestas ŠESD kiekis:</v>
      </c>
      <c r="E20" s="1607"/>
      <c r="F20" s="1567" t="str">
        <f>Translations!$B$649</f>
        <v>Ši vertė turėtų būti susijusi tik su tokia biomase, kuriai taikomi tvarumo kriterijai ir kuri tų kriterijų neatitinka.</v>
      </c>
      <c r="G20" s="1567"/>
      <c r="H20" s="1567"/>
      <c r="I20" s="1567"/>
      <c r="J20" s="1567"/>
      <c r="K20" s="1567"/>
      <c r="L20" s="1567"/>
      <c r="M20" s="1567"/>
      <c r="N20" s="1567"/>
      <c r="O20" s="737"/>
      <c r="P20" s="59"/>
      <c r="Q20" s="151"/>
      <c r="R20" s="151"/>
      <c r="S20" s="23"/>
      <c r="T20" s="23"/>
      <c r="U20" s="23"/>
      <c r="V20" s="23"/>
      <c r="W20" s="23"/>
      <c r="X20" s="23"/>
      <c r="Y20" s="23"/>
    </row>
    <row r="21" spans="1:25" ht="12.75" customHeight="1" thickBot="1">
      <c r="A21" s="765"/>
      <c r="B21" s="1053"/>
      <c r="C21" s="720"/>
      <c r="D21" s="500"/>
      <c r="E21" s="38"/>
      <c r="F21" s="36"/>
      <c r="G21" s="39"/>
      <c r="H21" s="39"/>
      <c r="I21" s="39"/>
      <c r="J21" s="39"/>
      <c r="K21" s="39"/>
      <c r="L21" s="39"/>
      <c r="M21" s="39"/>
      <c r="N21" s="39"/>
      <c r="O21" s="743"/>
    </row>
    <row r="22" spans="1:25" ht="12.75" customHeight="1" thickBot="1">
      <c r="A22" s="765"/>
      <c r="B22" s="1053"/>
      <c r="C22" s="832"/>
      <c r="D22" s="833"/>
      <c r="E22" s="831"/>
      <c r="F22" s="831"/>
      <c r="G22" s="831"/>
      <c r="H22" s="831"/>
      <c r="I22" s="831"/>
      <c r="J22" s="831"/>
      <c r="K22" s="831"/>
      <c r="L22" s="831"/>
      <c r="M22" s="831"/>
      <c r="N22" s="831"/>
      <c r="O22" s="743"/>
      <c r="S22" s="27" t="s">
        <v>492</v>
      </c>
      <c r="T22" s="23"/>
      <c r="U22" s="23"/>
      <c r="V22" s="23"/>
      <c r="W22" s="23"/>
    </row>
    <row r="23" spans="1:25" ht="13.5" thickBot="1">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c r="A24" s="765"/>
      <c r="B24" s="1053"/>
      <c r="C24" s="832"/>
      <c r="D24" s="833"/>
      <c r="E24" s="1591"/>
      <c r="F24" s="1592"/>
      <c r="G24" s="1592"/>
      <c r="H24" s="1592"/>
      <c r="I24" s="1593"/>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c r="A25" s="765"/>
      <c r="B25" s="1053"/>
      <c r="C25" s="832"/>
      <c r="D25" s="831"/>
      <c r="E25" s="831"/>
      <c r="F25" s="831"/>
      <c r="G25" s="831"/>
      <c r="H25" s="831"/>
      <c r="I25" s="831"/>
      <c r="J25" s="831"/>
      <c r="K25" s="831"/>
      <c r="L25" s="831"/>
      <c r="M25" s="831"/>
      <c r="N25" s="831"/>
      <c r="O25" s="742"/>
      <c r="U25" s="493"/>
      <c r="V25" s="493"/>
      <c r="W25" s="493"/>
    </row>
    <row r="26" spans="1:25" ht="13.5" thickBot="1">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c r="A28" s="765"/>
      <c r="B28" s="1053"/>
      <c r="C28" s="832"/>
      <c r="D28" s="831"/>
      <c r="E28" s="831"/>
      <c r="F28" s="831"/>
      <c r="G28" s="831"/>
      <c r="H28" s="831"/>
      <c r="I28" s="831"/>
      <c r="J28" s="831"/>
      <c r="K28" s="831"/>
      <c r="L28" s="831"/>
      <c r="M28" s="831"/>
      <c r="N28" s="831"/>
      <c r="O28" s="742"/>
      <c r="U28" s="493"/>
      <c r="V28" s="493"/>
      <c r="W28" s="493"/>
    </row>
    <row r="29" spans="1:25" ht="13.5" thickBot="1">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c r="A30" s="765"/>
      <c r="B30" s="1053"/>
      <c r="C30" s="832"/>
      <c r="D30" s="833"/>
      <c r="E30" s="831"/>
      <c r="F30" s="831"/>
      <c r="G30" s="831"/>
      <c r="H30" s="831"/>
      <c r="I30" s="831"/>
      <c r="J30" s="831"/>
      <c r="K30" s="831"/>
      <c r="L30" s="831"/>
      <c r="M30" s="831"/>
      <c r="N30" s="831"/>
      <c r="O30" s="742"/>
    </row>
    <row r="31" spans="1:25">
      <c r="A31" s="765"/>
      <c r="B31" s="1053"/>
      <c r="C31" s="832"/>
      <c r="D31" s="833"/>
      <c r="E31" s="1611" t="str">
        <f>Translations!$B$711</f>
        <v>Taikyto alternatyvaus metodo aprašas:</v>
      </c>
      <c r="F31" s="1611"/>
      <c r="G31" s="1611"/>
      <c r="H31" s="1611"/>
      <c r="I31" s="1611"/>
      <c r="J31" s="1611"/>
      <c r="K31" s="1611"/>
      <c r="L31" s="1611"/>
      <c r="M31" s="1611"/>
      <c r="N31" s="1611"/>
      <c r="O31" s="743"/>
    </row>
    <row r="32" spans="1:25">
      <c r="A32" s="765"/>
      <c r="B32" s="1053"/>
      <c r="C32" s="832"/>
      <c r="D32" s="833"/>
      <c r="E32" s="1608"/>
      <c r="F32" s="1609"/>
      <c r="G32" s="1609"/>
      <c r="H32" s="1609"/>
      <c r="I32" s="1609"/>
      <c r="J32" s="1609"/>
      <c r="K32" s="1609"/>
      <c r="L32" s="1609"/>
      <c r="M32" s="1609"/>
      <c r="N32" s="1610"/>
      <c r="O32" s="743"/>
      <c r="Y32" s="219" t="b">
        <f>Y24</f>
        <v>1</v>
      </c>
    </row>
    <row r="33" spans="1:25">
      <c r="A33" s="765"/>
      <c r="B33" s="1053"/>
      <c r="C33" s="832"/>
      <c r="D33" s="833"/>
      <c r="E33" s="1600"/>
      <c r="F33" s="1601"/>
      <c r="G33" s="1601"/>
      <c r="H33" s="1601"/>
      <c r="I33" s="1601"/>
      <c r="J33" s="1601"/>
      <c r="K33" s="1601"/>
      <c r="L33" s="1601"/>
      <c r="M33" s="1601"/>
      <c r="N33" s="1602"/>
      <c r="O33" s="743"/>
      <c r="Q33" s="637"/>
      <c r="Y33" s="219" t="b">
        <f>Y32</f>
        <v>1</v>
      </c>
    </row>
    <row r="34" spans="1:25">
      <c r="A34" s="765"/>
      <c r="B34" s="1053"/>
      <c r="C34" s="832"/>
      <c r="D34" s="833"/>
      <c r="E34" s="1600"/>
      <c r="F34" s="1601"/>
      <c r="G34" s="1601"/>
      <c r="H34" s="1601"/>
      <c r="I34" s="1601"/>
      <c r="J34" s="1601"/>
      <c r="K34" s="1601"/>
      <c r="L34" s="1601"/>
      <c r="M34" s="1601"/>
      <c r="N34" s="1602"/>
      <c r="O34" s="743"/>
      <c r="Y34" s="219" t="b">
        <f t="shared" ref="Y34:Y47" si="0">Y33</f>
        <v>1</v>
      </c>
    </row>
    <row r="35" spans="1:25">
      <c r="A35" s="765"/>
      <c r="B35" s="1053"/>
      <c r="C35" s="832"/>
      <c r="D35" s="833"/>
      <c r="E35" s="1600"/>
      <c r="F35" s="1601"/>
      <c r="G35" s="1601"/>
      <c r="H35" s="1601"/>
      <c r="I35" s="1601"/>
      <c r="J35" s="1601"/>
      <c r="K35" s="1601"/>
      <c r="L35" s="1601"/>
      <c r="M35" s="1601"/>
      <c r="N35" s="1602"/>
      <c r="O35" s="743"/>
      <c r="Y35" s="219" t="b">
        <f t="shared" si="0"/>
        <v>1</v>
      </c>
    </row>
    <row r="36" spans="1:25">
      <c r="A36" s="765"/>
      <c r="B36" s="1053"/>
      <c r="C36" s="832"/>
      <c r="D36" s="833"/>
      <c r="E36" s="1600"/>
      <c r="F36" s="1601"/>
      <c r="G36" s="1601"/>
      <c r="H36" s="1601"/>
      <c r="I36" s="1601"/>
      <c r="J36" s="1601"/>
      <c r="K36" s="1601"/>
      <c r="L36" s="1601"/>
      <c r="M36" s="1601"/>
      <c r="N36" s="1602"/>
      <c r="O36" s="743"/>
      <c r="Y36" s="219" t="b">
        <f t="shared" si="0"/>
        <v>1</v>
      </c>
    </row>
    <row r="37" spans="1:25">
      <c r="A37" s="765"/>
      <c r="B37" s="1053"/>
      <c r="C37" s="832"/>
      <c r="D37" s="833"/>
      <c r="E37" s="1600"/>
      <c r="F37" s="1601"/>
      <c r="G37" s="1601"/>
      <c r="H37" s="1601"/>
      <c r="I37" s="1601"/>
      <c r="J37" s="1601"/>
      <c r="K37" s="1601"/>
      <c r="L37" s="1601"/>
      <c r="M37" s="1601"/>
      <c r="N37" s="1602"/>
      <c r="O37" s="743"/>
      <c r="Y37" s="219" t="b">
        <f t="shared" si="0"/>
        <v>1</v>
      </c>
    </row>
    <row r="38" spans="1:25">
      <c r="A38" s="765"/>
      <c r="B38" s="1053"/>
      <c r="C38" s="832"/>
      <c r="D38" s="833"/>
      <c r="E38" s="1600"/>
      <c r="F38" s="1601"/>
      <c r="G38" s="1601"/>
      <c r="H38" s="1601"/>
      <c r="I38" s="1601"/>
      <c r="J38" s="1601"/>
      <c r="K38" s="1601"/>
      <c r="L38" s="1601"/>
      <c r="M38" s="1601"/>
      <c r="N38" s="1602"/>
      <c r="O38" s="743"/>
      <c r="Y38" s="219" t="b">
        <f t="shared" si="0"/>
        <v>1</v>
      </c>
    </row>
    <row r="39" spans="1:25">
      <c r="A39" s="765"/>
      <c r="B39" s="1053"/>
      <c r="C39" s="832"/>
      <c r="D39" s="833"/>
      <c r="E39" s="1600"/>
      <c r="F39" s="1601"/>
      <c r="G39" s="1601"/>
      <c r="H39" s="1601"/>
      <c r="I39" s="1601"/>
      <c r="J39" s="1601"/>
      <c r="K39" s="1601"/>
      <c r="L39" s="1601"/>
      <c r="M39" s="1601"/>
      <c r="N39" s="1602"/>
      <c r="O39" s="743"/>
      <c r="Y39" s="219" t="b">
        <f t="shared" si="0"/>
        <v>1</v>
      </c>
    </row>
    <row r="40" spans="1:25">
      <c r="A40" s="765"/>
      <c r="B40" s="1053"/>
      <c r="C40" s="832"/>
      <c r="D40" s="833"/>
      <c r="E40" s="1600"/>
      <c r="F40" s="1601"/>
      <c r="G40" s="1601"/>
      <c r="H40" s="1601"/>
      <c r="I40" s="1601"/>
      <c r="J40" s="1601"/>
      <c r="K40" s="1601"/>
      <c r="L40" s="1601"/>
      <c r="M40" s="1601"/>
      <c r="N40" s="1602"/>
      <c r="O40" s="743"/>
      <c r="Y40" s="219" t="b">
        <f t="shared" si="0"/>
        <v>1</v>
      </c>
    </row>
    <row r="41" spans="1:25">
      <c r="A41" s="765"/>
      <c r="B41" s="1053"/>
      <c r="C41" s="832"/>
      <c r="D41" s="833"/>
      <c r="E41" s="1600"/>
      <c r="F41" s="1601"/>
      <c r="G41" s="1601"/>
      <c r="H41" s="1601"/>
      <c r="I41" s="1601"/>
      <c r="J41" s="1601"/>
      <c r="K41" s="1601"/>
      <c r="L41" s="1601"/>
      <c r="M41" s="1601"/>
      <c r="N41" s="1602"/>
      <c r="O41" s="743"/>
      <c r="Y41" s="219" t="b">
        <f t="shared" si="0"/>
        <v>1</v>
      </c>
    </row>
    <row r="42" spans="1:25">
      <c r="A42" s="765"/>
      <c r="B42" s="1053"/>
      <c r="C42" s="832"/>
      <c r="D42" s="833"/>
      <c r="E42" s="1600"/>
      <c r="F42" s="1601"/>
      <c r="G42" s="1601"/>
      <c r="H42" s="1601"/>
      <c r="I42" s="1601"/>
      <c r="J42" s="1601"/>
      <c r="K42" s="1601"/>
      <c r="L42" s="1601"/>
      <c r="M42" s="1601"/>
      <c r="N42" s="1602"/>
      <c r="O42" s="743"/>
      <c r="Y42" s="219" t="b">
        <f t="shared" si="0"/>
        <v>1</v>
      </c>
    </row>
    <row r="43" spans="1:25">
      <c r="A43" s="765"/>
      <c r="B43" s="1053"/>
      <c r="C43" s="832"/>
      <c r="D43" s="833"/>
      <c r="E43" s="1600"/>
      <c r="F43" s="1601"/>
      <c r="G43" s="1601"/>
      <c r="H43" s="1601"/>
      <c r="I43" s="1601"/>
      <c r="J43" s="1601"/>
      <c r="K43" s="1601"/>
      <c r="L43" s="1601"/>
      <c r="M43" s="1601"/>
      <c r="N43" s="1602"/>
      <c r="O43" s="743"/>
      <c r="Y43" s="219" t="b">
        <f t="shared" si="0"/>
        <v>1</v>
      </c>
    </row>
    <row r="44" spans="1:25">
      <c r="A44" s="765"/>
      <c r="B44" s="1053"/>
      <c r="C44" s="832"/>
      <c r="D44" s="833"/>
      <c r="E44" s="1600"/>
      <c r="F44" s="1601"/>
      <c r="G44" s="1601"/>
      <c r="H44" s="1601"/>
      <c r="I44" s="1601"/>
      <c r="J44" s="1601"/>
      <c r="K44" s="1601"/>
      <c r="L44" s="1601"/>
      <c r="M44" s="1601"/>
      <c r="N44" s="1602"/>
      <c r="O44" s="743"/>
      <c r="Y44" s="219" t="b">
        <f t="shared" si="0"/>
        <v>1</v>
      </c>
    </row>
    <row r="45" spans="1:25">
      <c r="A45" s="765"/>
      <c r="B45" s="1053"/>
      <c r="C45" s="832"/>
      <c r="D45" s="833"/>
      <c r="E45" s="1600"/>
      <c r="F45" s="1601"/>
      <c r="G45" s="1601"/>
      <c r="H45" s="1601"/>
      <c r="I45" s="1601"/>
      <c r="J45" s="1601"/>
      <c r="K45" s="1601"/>
      <c r="L45" s="1601"/>
      <c r="M45" s="1601"/>
      <c r="N45" s="1602"/>
      <c r="O45" s="743"/>
      <c r="Y45" s="219" t="b">
        <f t="shared" si="0"/>
        <v>1</v>
      </c>
    </row>
    <row r="46" spans="1:25">
      <c r="A46" s="765"/>
      <c r="B46" s="1053"/>
      <c r="C46" s="832"/>
      <c r="D46" s="833"/>
      <c r="E46" s="1600"/>
      <c r="F46" s="1601"/>
      <c r="G46" s="1601"/>
      <c r="H46" s="1601"/>
      <c r="I46" s="1601"/>
      <c r="J46" s="1601"/>
      <c r="K46" s="1601"/>
      <c r="L46" s="1601"/>
      <c r="M46" s="1601"/>
      <c r="N46" s="1602"/>
      <c r="O46" s="743"/>
      <c r="Y46" s="219" t="b">
        <f t="shared" si="0"/>
        <v>1</v>
      </c>
    </row>
    <row r="47" spans="1:25">
      <c r="A47" s="765"/>
      <c r="B47" s="1053"/>
      <c r="C47" s="832"/>
      <c r="D47" s="833"/>
      <c r="E47" s="1603"/>
      <c r="F47" s="1604"/>
      <c r="G47" s="1604"/>
      <c r="H47" s="1604"/>
      <c r="I47" s="1604"/>
      <c r="J47" s="1604"/>
      <c r="K47" s="1604"/>
      <c r="L47" s="1604"/>
      <c r="M47" s="1604"/>
      <c r="N47" s="1605"/>
      <c r="O47" s="743"/>
      <c r="Y47" s="219" t="b">
        <f t="shared" si="0"/>
        <v>1</v>
      </c>
    </row>
    <row r="48" spans="1:25">
      <c r="A48" s="765"/>
      <c r="B48" s="1053"/>
      <c r="C48" s="266"/>
      <c r="D48" s="266"/>
      <c r="E48" s="266"/>
      <c r="F48" s="266"/>
      <c r="G48" s="266"/>
      <c r="H48" s="266"/>
      <c r="I48" s="266"/>
      <c r="J48" s="266"/>
      <c r="K48" s="266"/>
      <c r="L48" s="266"/>
      <c r="M48" s="266"/>
      <c r="N48" s="266"/>
      <c r="O48" s="743"/>
    </row>
    <row r="49" spans="1:25">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c r="A50" s="765"/>
      <c r="B50" s="1053"/>
      <c r="C50" s="266"/>
      <c r="D50" s="266"/>
      <c r="E50" s="139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96"/>
      <c r="G50" s="1396"/>
      <c r="H50" s="1396"/>
      <c r="I50" s="1396"/>
      <c r="J50" s="1396"/>
      <c r="K50" s="1396"/>
      <c r="L50" s="1396"/>
      <c r="M50" s="1396"/>
      <c r="N50" s="1396"/>
      <c r="O50" s="743"/>
    </row>
    <row r="51" spans="1:25">
      <c r="A51" s="765"/>
      <c r="B51" s="1053"/>
      <c r="C51" s="266"/>
      <c r="D51" s="266"/>
      <c r="E51" s="1378" t="str">
        <f>Translations!$B$714</f>
        <v xml:space="preserve">Pridėkite šį neapibrėžties vertinimą, aiškiai nurodydami, kodėl bent vieno sukėliklio arba taršos šaltinio atveju galima nepasiekti I pakopos. </v>
      </c>
      <c r="F51" s="1378"/>
      <c r="G51" s="1378"/>
      <c r="H51" s="1378"/>
      <c r="I51" s="1378"/>
      <c r="J51" s="1378"/>
      <c r="K51" s="1378"/>
      <c r="L51" s="1378"/>
      <c r="M51" s="1378"/>
      <c r="N51" s="1378"/>
      <c r="O51" s="743"/>
    </row>
    <row r="52" spans="1:25">
      <c r="A52" s="765"/>
      <c r="B52" s="1053"/>
      <c r="C52" s="266"/>
      <c r="D52" s="266"/>
      <c r="E52" s="1615" t="str">
        <f>Translations!$B$715</f>
        <v>Nuoroda į rinkmeną, kurioje pateiktas neapibrėžties vertinimas.</v>
      </c>
      <c r="F52" s="1615"/>
      <c r="G52" s="1615"/>
      <c r="H52" s="1615"/>
      <c r="I52" s="1615"/>
      <c r="J52" s="1616"/>
      <c r="K52" s="1612"/>
      <c r="L52" s="1613"/>
      <c r="M52" s="1613"/>
      <c r="N52" s="1614"/>
      <c r="O52" s="743"/>
      <c r="Y52" s="219" t="b">
        <f>Y47</f>
        <v>1</v>
      </c>
    </row>
    <row r="53" spans="1:25" ht="13.5" thickBot="1">
      <c r="A53" s="765"/>
      <c r="B53" s="1053"/>
      <c r="C53" s="720"/>
      <c r="D53" s="500"/>
      <c r="E53" s="38"/>
      <c r="F53" s="36"/>
      <c r="G53" s="39"/>
      <c r="H53" s="39"/>
      <c r="I53" s="39"/>
      <c r="J53" s="39"/>
      <c r="K53" s="39"/>
      <c r="L53" s="39"/>
      <c r="M53" s="39"/>
      <c r="N53" s="39"/>
      <c r="O53" s="743"/>
    </row>
    <row r="54" spans="1:25">
      <c r="A54" s="765"/>
      <c r="B54" s="1053"/>
      <c r="C54" s="266"/>
      <c r="D54" s="266"/>
      <c r="E54" s="266"/>
      <c r="F54" s="266"/>
      <c r="G54" s="266"/>
      <c r="H54" s="266"/>
      <c r="I54" s="266"/>
      <c r="J54" s="266"/>
      <c r="K54" s="266"/>
      <c r="L54" s="266"/>
      <c r="M54" s="266"/>
      <c r="N54" s="266"/>
      <c r="O54" s="743"/>
    </row>
    <row r="55" spans="1:25" ht="15" customHeight="1">
      <c r="A55" s="781"/>
      <c r="B55" s="836"/>
      <c r="C55" s="267"/>
      <c r="D55" s="274"/>
      <c r="E55" s="267"/>
      <c r="F55" s="1365" t="str">
        <f>EUconst_MsgNextSheet</f>
        <v xml:space="preserve">&lt;&lt;&lt; Į kitą lapą pereisite paspaudę čia &gt;&gt;&gt; </v>
      </c>
      <c r="G55" s="1365"/>
      <c r="H55" s="1365"/>
      <c r="I55" s="1365"/>
      <c r="J55" s="1365"/>
      <c r="K55" s="1365"/>
      <c r="L55" s="1365"/>
      <c r="M55" s="267"/>
      <c r="N55" s="267"/>
      <c r="O55" s="743"/>
    </row>
    <row r="56" spans="1:25" ht="13.5" thickBot="1">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 ref="D18:E18"/>
    <mergeCell ref="F18:N18"/>
    <mergeCell ref="G17:N17"/>
    <mergeCell ref="G16:N16"/>
    <mergeCell ref="D15:E16"/>
    <mergeCell ref="F55:L55"/>
    <mergeCell ref="E40:N40"/>
    <mergeCell ref="E41:N41"/>
    <mergeCell ref="E42:N42"/>
    <mergeCell ref="E47:N47"/>
    <mergeCell ref="E46:N46"/>
    <mergeCell ref="E45:N45"/>
    <mergeCell ref="E44:N44"/>
    <mergeCell ref="E43:N43"/>
    <mergeCell ref="E50:N50"/>
    <mergeCell ref="E51:N51"/>
    <mergeCell ref="K52:N52"/>
    <mergeCell ref="E52:J5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C6:K6"/>
    <mergeCell ref="L6:N6"/>
    <mergeCell ref="K8:N8"/>
    <mergeCell ref="D10:N10"/>
    <mergeCell ref="F15:N15"/>
    <mergeCell ref="D12:E13"/>
    <mergeCell ref="F12:N12"/>
    <mergeCell ref="G13:N13"/>
    <mergeCell ref="G14:N14"/>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sheetPr codeName="Tabelle19">
    <tabColor indexed="11"/>
    <pageSetUpPr fitToPage="1"/>
  </sheetPr>
  <dimension ref="A1:BW395"/>
  <sheetViews>
    <sheetView topLeftCell="B1" zoomScale="115" zoomScaleNormal="115" workbookViewId="0">
      <pane ySplit="4" topLeftCell="A65" activePane="bottomLeft" state="frozen"/>
      <selection activeCell="B2" sqref="B2"/>
      <selection pane="bottomLeft" activeCell="BQ406" sqref="BQ406"/>
    </sheetView>
  </sheetViews>
  <sheetFormatPr defaultColWidth="11.42578125" defaultRowHeight="12.75"/>
  <cols>
    <col min="1" max="1" width="2.7109375" style="59" hidden="1" customWidth="1"/>
    <col min="2" max="2" width="2.7109375" style="59" customWidth="1"/>
    <col min="3" max="4" width="4.7109375" style="59" customWidth="1"/>
    <col min="5" max="14" width="12.7109375" style="59" customWidth="1"/>
    <col min="15" max="15" width="7.7109375" style="206"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2"/>
  </cols>
  <sheetData>
    <row r="1" spans="1:75" ht="13.5" hidden="1" thickBot="1">
      <c r="A1" s="55" t="s">
        <v>87</v>
      </c>
      <c r="B1" s="787"/>
      <c r="C1" s="759"/>
      <c r="D1" s="762"/>
      <c r="E1" s="759"/>
      <c r="F1" s="759"/>
      <c r="G1" s="759"/>
      <c r="H1" s="759"/>
      <c r="I1" s="759"/>
      <c r="J1" s="759"/>
      <c r="K1" s="759"/>
      <c r="L1" s="759"/>
      <c r="M1" s="759"/>
      <c r="N1" s="759"/>
      <c r="O1" s="763"/>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c r="A2" s="55"/>
      <c r="B2" s="1404" t="str">
        <f>Translations!$B$716</f>
        <v>F. PFC emissions (Išmetamas PFC kiekis)</v>
      </c>
      <c r="C2" s="1574"/>
      <c r="D2" s="1575"/>
      <c r="E2" s="1386" t="str">
        <f>Translations!$B$23</f>
        <v>Naršymo laukas</v>
      </c>
      <c r="F2" s="1364"/>
      <c r="G2" s="1366" t="str">
        <f>Translations!$B$24</f>
        <v>Turinys</v>
      </c>
      <c r="H2" s="1367"/>
      <c r="I2" s="1366" t="str">
        <f>Translations!$B$25</f>
        <v>Ankstesnis lapas</v>
      </c>
      <c r="J2" s="1367"/>
      <c r="K2" s="1366" t="str">
        <f>Translations!$B$26</f>
        <v>Kitas lapas</v>
      </c>
      <c r="L2" s="1367"/>
      <c r="M2" s="1366"/>
      <c r="N2" s="1367"/>
      <c r="O2" s="732"/>
      <c r="P2" s="15"/>
      <c r="Q2" s="56"/>
      <c r="R2" s="56"/>
      <c r="S2" s="56"/>
      <c r="T2" s="56"/>
      <c r="U2" s="56"/>
      <c r="V2" s="56"/>
      <c r="W2" s="56"/>
    </row>
    <row r="3" spans="1:75" ht="12.75" customHeight="1">
      <c r="A3" s="55"/>
      <c r="B3" s="1576"/>
      <c r="C3" s="1577"/>
      <c r="D3" s="1578"/>
      <c r="E3" s="1359" t="str">
        <f>Translations!$B$27</f>
        <v>Lapo viršus</v>
      </c>
      <c r="F3" s="1359"/>
      <c r="G3" s="1639" t="str">
        <f>Translations!$B$8</f>
        <v>Išmetamo PFC kiekio nustatymas</v>
      </c>
      <c r="H3" s="1640"/>
      <c r="I3" s="1641" t="str">
        <f>EUwideConstants!$A$138</f>
        <v>PFC</v>
      </c>
      <c r="J3" s="1642"/>
      <c r="K3" s="1646"/>
      <c r="L3" s="1647"/>
      <c r="M3" s="1359"/>
      <c r="N3" s="1359"/>
      <c r="O3" s="732"/>
      <c r="P3" s="15"/>
      <c r="Q3" s="56"/>
      <c r="R3" s="56"/>
      <c r="S3" s="56"/>
      <c r="T3" s="56"/>
      <c r="U3" s="1156" t="s">
        <v>601</v>
      </c>
      <c r="V3" s="869" t="str">
        <f>ADDRESS(ROW($B$5),COLUMN($B$5)) &amp; ":" &amp; ADDRESS(IF(CNTR_PFCRelevant=EUconst_NotRelevant,ROW(P58),ROW(P346))+ROW($P$88)-ROW($P$58),COLUMN($O$5))</f>
        <v>$B$5:$O$88</v>
      </c>
      <c r="W3" s="56"/>
    </row>
    <row r="4" spans="1:75" ht="13.5" customHeight="1" thickBot="1">
      <c r="A4" s="55"/>
      <c r="B4" s="1579"/>
      <c r="C4" s="1580"/>
      <c r="D4" s="1581"/>
      <c r="E4" s="1359" t="str">
        <f>Translations!$B$28</f>
        <v>Lapo galas</v>
      </c>
      <c r="F4" s="1359"/>
      <c r="G4" s="1643"/>
      <c r="H4" s="1644"/>
      <c r="I4" s="1644"/>
      <c r="J4" s="1644"/>
      <c r="K4" s="1644"/>
      <c r="L4" s="1645"/>
      <c r="M4" s="1359"/>
      <c r="N4" s="1359"/>
      <c r="O4" s="732"/>
      <c r="P4" s="15"/>
      <c r="Q4" s="56"/>
      <c r="R4" s="56"/>
      <c r="S4" s="56"/>
      <c r="T4" s="56"/>
      <c r="U4" s="56"/>
      <c r="V4" s="56"/>
      <c r="W4" s="56"/>
    </row>
    <row r="5" spans="1:75" ht="12.75" customHeight="1" thickBot="1">
      <c r="A5" s="56"/>
      <c r="B5" s="789"/>
      <c r="C5" s="4"/>
      <c r="D5" s="6"/>
      <c r="E5" s="5"/>
      <c r="F5" s="6"/>
      <c r="G5" s="6"/>
      <c r="H5" s="6"/>
      <c r="I5" s="5"/>
      <c r="J5" s="5"/>
      <c r="K5" s="5"/>
      <c r="L5" s="5"/>
      <c r="M5" s="344"/>
      <c r="N5" s="344"/>
      <c r="O5" s="732"/>
      <c r="P5" s="15"/>
      <c r="Q5" s="56"/>
      <c r="R5" s="56"/>
      <c r="S5" s="56"/>
      <c r="T5" s="56"/>
      <c r="U5" s="56"/>
      <c r="V5" s="56"/>
      <c r="W5" s="56"/>
    </row>
    <row r="6" spans="1:75" s="1113" customFormat="1" ht="25.5" customHeight="1" thickBot="1">
      <c r="A6" s="58"/>
      <c r="B6" s="790"/>
      <c r="C6" s="1398" t="str">
        <f>Translations!$B$501</f>
        <v>F. Gaminant pirminį aliuminį išmetamo PFC kiekio nustatymas</v>
      </c>
      <c r="D6" s="1398"/>
      <c r="E6" s="1398"/>
      <c r="F6" s="1398"/>
      <c r="G6" s="1398"/>
      <c r="H6" s="1398"/>
      <c r="I6" s="1398"/>
      <c r="J6" s="1398"/>
      <c r="K6" s="1398"/>
      <c r="L6" s="1571" t="str">
        <f>IF(CNTR_InstHasPFC=TRUE,EUconst_Relevant,IF(COUNTA(CNTR_ListRelevantSections)&gt;0,EUconst_NotRelevant,EUconst_Relevant))</f>
        <v>nesvarbu</v>
      </c>
      <c r="M6" s="1572"/>
      <c r="N6" s="1573"/>
      <c r="O6" s="733"/>
      <c r="P6" s="33"/>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c r="A7" s="58"/>
      <c r="B7" s="790"/>
      <c r="C7" s="767"/>
      <c r="D7" s="768"/>
      <c r="E7" s="767"/>
      <c r="F7" s="767"/>
      <c r="G7" s="767"/>
      <c r="H7" s="767"/>
      <c r="I7" s="767"/>
      <c r="J7" s="767"/>
      <c r="K7" s="767"/>
      <c r="L7" s="152"/>
      <c r="M7" s="152"/>
      <c r="N7" s="152"/>
      <c r="O7" s="733"/>
      <c r="P7" s="33"/>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c r="A8" s="56"/>
      <c r="B8" s="791"/>
      <c r="C8" s="206"/>
      <c r="D8" s="6"/>
      <c r="E8" s="206"/>
      <c r="F8" s="206"/>
      <c r="G8" s="206"/>
      <c r="H8" s="206"/>
      <c r="I8" s="206"/>
      <c r="J8" s="206"/>
      <c r="K8" s="1648" t="str">
        <f>IF(L6=EUconst_NotRelevant,HYPERLINK("#JUMP_DG",EUconst_MsgNextSheet),HYPERLINK("",EUconst_MsgEnterThisSection))</f>
        <v xml:space="preserve">&lt;&lt;&lt; Į kitą lapą pereisite paspaudę čia &gt;&gt;&gt; </v>
      </c>
      <c r="L8" s="1648"/>
      <c r="M8" s="1648"/>
      <c r="N8" s="1648"/>
      <c r="O8" s="734"/>
      <c r="P8" s="56"/>
      <c r="Q8" s="56"/>
      <c r="R8" s="56"/>
      <c r="S8" s="56"/>
      <c r="T8" s="56"/>
      <c r="U8" s="56"/>
      <c r="V8" s="56"/>
      <c r="W8" s="56"/>
      <c r="X8" s="250"/>
      <c r="Y8" s="250"/>
      <c r="Z8" s="250"/>
      <c r="AA8" s="250"/>
    </row>
    <row r="9" spans="1:75" ht="5.0999999999999996" customHeight="1">
      <c r="A9" s="147"/>
      <c r="B9" s="835"/>
      <c r="C9" s="9"/>
      <c r="D9" s="824"/>
      <c r="E9" s="265"/>
      <c r="F9" s="201"/>
      <c r="G9" s="265"/>
      <c r="H9" s="265"/>
      <c r="I9" s="265"/>
      <c r="J9" s="265"/>
      <c r="K9" s="265"/>
      <c r="L9" s="265"/>
      <c r="M9" s="265"/>
      <c r="N9" s="265"/>
      <c r="O9" s="743"/>
      <c r="P9" s="56"/>
      <c r="Q9" s="56"/>
      <c r="R9" s="56"/>
      <c r="S9" s="56"/>
      <c r="T9" s="56"/>
      <c r="U9" s="56"/>
      <c r="V9" s="56"/>
      <c r="W9" s="56"/>
      <c r="X9" s="250"/>
      <c r="Y9" s="250"/>
      <c r="Z9" s="250"/>
      <c r="AA9" s="250"/>
    </row>
    <row r="10" spans="1:75" s="1114" customFormat="1" ht="18.75" customHeight="1">
      <c r="A10" s="808"/>
      <c r="B10" s="842"/>
      <c r="C10" s="717">
        <v>11</v>
      </c>
      <c r="D10" s="1512" t="str">
        <f>Translations!$B$163</f>
        <v>Sukėliklių, kurie turi būti stebimi dėl PFC, sąrašas:</v>
      </c>
      <c r="E10" s="1512"/>
      <c r="F10" s="1512"/>
      <c r="G10" s="1512"/>
      <c r="H10" s="1512"/>
      <c r="I10" s="1512"/>
      <c r="J10" s="1512"/>
      <c r="K10" s="1512"/>
      <c r="L10" s="1512"/>
      <c r="M10" s="1512"/>
      <c r="N10" s="1512"/>
      <c r="O10" s="735"/>
      <c r="P10" s="392"/>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2"/>
      <c r="BM10" s="1112"/>
      <c r="BN10" s="1112"/>
      <c r="BO10" s="1112"/>
      <c r="BP10" s="1112"/>
      <c r="BQ10" s="1112"/>
      <c r="BR10" s="1112"/>
      <c r="BS10" s="1112"/>
      <c r="BT10" s="1112"/>
      <c r="BU10" s="1112"/>
      <c r="BV10" s="1112"/>
      <c r="BW10" s="1112"/>
    </row>
    <row r="11" spans="1:75" ht="5.0999999999999996" customHeight="1">
      <c r="A11" s="56"/>
      <c r="B11" s="836"/>
      <c r="C11" s="270"/>
      <c r="D11" s="268"/>
      <c r="E11" s="269"/>
      <c r="F11" s="269"/>
      <c r="G11" s="269"/>
      <c r="H11" s="269"/>
      <c r="I11" s="269"/>
      <c r="J11" s="269"/>
      <c r="K11" s="269"/>
      <c r="L11" s="269"/>
      <c r="M11" s="269"/>
      <c r="N11" s="269"/>
      <c r="O11" s="755"/>
      <c r="P11" s="56"/>
      <c r="Q11" s="56"/>
      <c r="R11" s="56"/>
      <c r="S11" s="56"/>
      <c r="T11" s="56"/>
      <c r="U11" s="56"/>
      <c r="V11" s="56"/>
      <c r="W11" s="56"/>
      <c r="X11" s="250"/>
      <c r="Y11" s="250"/>
      <c r="Z11" s="250"/>
      <c r="AA11" s="250"/>
    </row>
    <row r="12" spans="1:75" ht="25.5" customHeight="1">
      <c r="A12" s="56"/>
      <c r="B12" s="836"/>
      <c r="C12" s="267"/>
      <c r="D12" s="1637"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7"/>
      <c r="F12" s="1637"/>
      <c r="G12" s="1637"/>
      <c r="H12" s="1637"/>
      <c r="I12" s="1637"/>
      <c r="J12" s="1637"/>
      <c r="K12" s="1637"/>
      <c r="L12" s="1637"/>
      <c r="M12" s="1637"/>
      <c r="N12" s="1637"/>
      <c r="O12" s="757"/>
      <c r="P12" s="56"/>
      <c r="Q12" s="56"/>
      <c r="R12" s="56"/>
      <c r="S12" s="56"/>
      <c r="T12" s="56"/>
      <c r="U12" s="56"/>
      <c r="V12" s="56"/>
      <c r="W12" s="56"/>
      <c r="X12" s="250"/>
      <c r="Y12" s="250"/>
      <c r="Z12" s="250"/>
      <c r="AA12" s="250"/>
    </row>
    <row r="13" spans="1:75" ht="25.5" customHeight="1">
      <c r="A13" s="56"/>
      <c r="B13" s="836"/>
      <c r="C13" s="267"/>
      <c r="D13" s="1637"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7"/>
      <c r="F13" s="1637"/>
      <c r="G13" s="1637"/>
      <c r="H13" s="1637"/>
      <c r="I13" s="1637"/>
      <c r="J13" s="1637"/>
      <c r="K13" s="1637"/>
      <c r="L13" s="1637"/>
      <c r="M13" s="1637"/>
      <c r="N13" s="1637"/>
      <c r="O13" s="757"/>
      <c r="P13" s="56"/>
      <c r="Q13" s="56"/>
      <c r="R13" s="56"/>
      <c r="S13" s="56"/>
      <c r="T13" s="56"/>
      <c r="U13" s="56"/>
      <c r="V13" s="56"/>
      <c r="W13" s="56"/>
      <c r="X13" s="250"/>
      <c r="Y13" s="250"/>
      <c r="Z13" s="250"/>
      <c r="AA13" s="250"/>
    </row>
    <row r="14" spans="1:75" ht="25.5" customHeight="1">
      <c r="A14" s="56"/>
      <c r="B14" s="836"/>
      <c r="C14" s="267"/>
      <c r="D14" s="1637"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7"/>
      <c r="F14" s="1637"/>
      <c r="G14" s="1637"/>
      <c r="H14" s="1637"/>
      <c r="I14" s="1637"/>
      <c r="J14" s="1637"/>
      <c r="K14" s="1637"/>
      <c r="L14" s="1637"/>
      <c r="M14" s="1637"/>
      <c r="N14" s="1637"/>
      <c r="O14" s="757"/>
      <c r="P14" s="56"/>
      <c r="Q14" s="56"/>
      <c r="R14" s="56"/>
      <c r="S14" s="56"/>
      <c r="T14" s="56"/>
      <c r="U14" s="56"/>
      <c r="V14" s="56"/>
      <c r="W14" s="56"/>
      <c r="X14" s="250"/>
      <c r="Y14" s="250"/>
      <c r="Z14" s="250"/>
      <c r="AA14" s="250"/>
    </row>
    <row r="15" spans="1:75">
      <c r="A15" s="56"/>
      <c r="B15" s="836"/>
      <c r="C15" s="267"/>
      <c r="D15" s="1637" t="str">
        <f>Translations!$B$164</f>
        <v>Šis sąrašas bus naudojamas tolesniame skirsnyje nustatant kitus kiekvieno sukėliklio duomenis.</v>
      </c>
      <c r="E15" s="1637"/>
      <c r="F15" s="1637"/>
      <c r="G15" s="1637"/>
      <c r="H15" s="1637"/>
      <c r="I15" s="1637"/>
      <c r="J15" s="1637"/>
      <c r="K15" s="1637"/>
      <c r="L15" s="1637"/>
      <c r="M15" s="1637"/>
      <c r="N15" s="1637"/>
      <c r="O15" s="757"/>
      <c r="P15" s="56"/>
      <c r="Q15" s="56"/>
      <c r="R15" s="56"/>
      <c r="S15" s="56"/>
      <c r="T15" s="56"/>
      <c r="U15" s="56"/>
      <c r="V15" s="56"/>
      <c r="W15" s="56"/>
      <c r="X15" s="250"/>
      <c r="Y15" s="250"/>
      <c r="Z15" s="250"/>
      <c r="AA15" s="250"/>
    </row>
    <row r="16" spans="1:75" ht="5.0999999999999996" customHeight="1">
      <c r="A16" s="56"/>
      <c r="B16" s="836"/>
      <c r="C16" s="267"/>
      <c r="D16" s="269"/>
      <c r="E16" s="269"/>
      <c r="F16" s="269"/>
      <c r="G16" s="269"/>
      <c r="H16" s="269"/>
      <c r="I16" s="269"/>
      <c r="J16" s="269"/>
      <c r="K16" s="266"/>
      <c r="L16" s="266"/>
      <c r="M16" s="266"/>
      <c r="N16" s="266"/>
      <c r="O16" s="757"/>
      <c r="P16" s="56"/>
      <c r="Q16" s="56"/>
      <c r="R16" s="56"/>
      <c r="S16" s="56"/>
      <c r="T16" s="56"/>
      <c r="U16" s="56"/>
      <c r="V16" s="56"/>
      <c r="W16" s="56"/>
      <c r="X16" s="250"/>
      <c r="Y16" s="250"/>
      <c r="Z16" s="250"/>
      <c r="AA16" s="250"/>
    </row>
    <row r="17" spans="1:75" ht="12.75" customHeight="1" thickBot="1">
      <c r="A17" s="56"/>
      <c r="B17" s="836"/>
      <c r="C17" s="267"/>
      <c r="D17" s="271"/>
      <c r="E17" s="1649" t="str">
        <f>Translations!$B$129</f>
        <v>Sukėliklio pavadinimas</v>
      </c>
      <c r="F17" s="1650"/>
      <c r="G17" s="1651"/>
      <c r="H17" s="1652" t="str">
        <f>Translations!$B$130</f>
        <v>Sukėliklio tipas</v>
      </c>
      <c r="I17" s="1652"/>
      <c r="J17" s="1652"/>
      <c r="K17" s="1652"/>
      <c r="L17" s="1638" t="str">
        <f>Translations!$B$165</f>
        <v>Elektrolizės vonios tipas</v>
      </c>
      <c r="M17" s="1638"/>
      <c r="N17" s="1638"/>
      <c r="O17" s="757"/>
      <c r="P17" s="56"/>
      <c r="Q17" s="56"/>
      <c r="R17" s="56"/>
      <c r="S17" s="56"/>
      <c r="T17" s="55" t="s">
        <v>470</v>
      </c>
      <c r="U17" s="56" t="s">
        <v>334</v>
      </c>
      <c r="V17" s="56"/>
      <c r="W17" s="56"/>
      <c r="X17" s="250"/>
      <c r="Y17" s="250"/>
      <c r="Z17" s="250"/>
      <c r="AA17" s="250"/>
    </row>
    <row r="18" spans="1:75" ht="13.15" customHeight="1">
      <c r="A18" s="56"/>
      <c r="B18" s="836"/>
      <c r="C18" s="267"/>
      <c r="D18" s="178" t="str">
        <f>IF(COUNTIF(CNTR_CheckPFC,S18)=0,"",INDEX(B_InstallationDescription!$D$71:$D$145,MATCH(S18,CNTR_CheckPFC,0)))</f>
        <v/>
      </c>
      <c r="E18" s="1634" t="str">
        <f>IF(D18="","",INDEX(B_InstallationDescription!$Y$71:$Y$145,MATCH(D18,B_InstallationDescription!$D$71:$D$145,0)))</f>
        <v/>
      </c>
      <c r="F18" s="1635"/>
      <c r="G18" s="1636"/>
      <c r="H18" s="1632" t="str">
        <f>IF(D18="","",INDEX(B_InstallationDescription!$E$71:$E$145,MATCH(D18,B_InstallationDescription!$D$71:$D$145,0)))</f>
        <v/>
      </c>
      <c r="I18" s="1632"/>
      <c r="J18" s="1632"/>
      <c r="K18" s="1632"/>
      <c r="L18" s="1633" t="str">
        <f>IF(E18="","",INDEX(B_InstallationDescription!$I$71:$I$145,MATCH(D18,B_InstallationDescription!$D$71:$D$145,0)))</f>
        <v/>
      </c>
      <c r="M18" s="1633"/>
      <c r="N18" s="1633"/>
      <c r="O18" s="757"/>
      <c r="P18" s="677"/>
      <c r="Q18" s="56"/>
      <c r="R18" s="56"/>
      <c r="S18" s="639">
        <v>1</v>
      </c>
      <c r="T18" s="640" t="str">
        <f t="shared" ref="T18:T27" si="0">IF(D18="",EUconst_NA,E18)</f>
        <v>netaik.</v>
      </c>
      <c r="U18" s="654" t="str">
        <f t="shared" ref="U18:U27" si="1">IF(D18="","",IF(MATCH(H18,EUConst_TierActivityListNames,0)=41,1,2))</f>
        <v/>
      </c>
      <c r="V18" s="56"/>
      <c r="W18" s="56"/>
      <c r="X18" s="250"/>
      <c r="Y18" s="250"/>
      <c r="Z18" s="250"/>
      <c r="AA18" s="250"/>
    </row>
    <row r="19" spans="1:75">
      <c r="A19" s="56"/>
      <c r="B19" s="836"/>
      <c r="C19" s="267"/>
      <c r="D19" s="178" t="str">
        <f>IF(COUNTIF(CNTR_CheckPFC,S19)=0,"",INDEX(B_InstallationDescription!$D$71:$D$145,MATCH(S19,CNTR_CheckPFC,0)))</f>
        <v/>
      </c>
      <c r="E19" s="1634" t="str">
        <f>IF(D19="","",INDEX(B_InstallationDescription!$Y$71:$Y$145,MATCH(D19,B_InstallationDescription!$D$71:$D$145,0)))</f>
        <v/>
      </c>
      <c r="F19" s="1635"/>
      <c r="G19" s="1636"/>
      <c r="H19" s="1632" t="str">
        <f>IF(D19="","",INDEX(B_InstallationDescription!$E$71:$E$145,MATCH(D19,B_InstallationDescription!$D$71:$D$145,0)))</f>
        <v/>
      </c>
      <c r="I19" s="1632"/>
      <c r="J19" s="1632"/>
      <c r="K19" s="1632"/>
      <c r="L19" s="1633" t="str">
        <f>IF(E19="","",INDEX(B_InstallationDescription!$I$71:$I$145,MATCH(D19,B_InstallationDescription!$D$71:$D$145,0)))</f>
        <v/>
      </c>
      <c r="M19" s="1633"/>
      <c r="N19" s="1633"/>
      <c r="O19" s="757"/>
      <c r="P19" s="677"/>
      <c r="Q19" s="56"/>
      <c r="R19" s="56"/>
      <c r="S19" s="639">
        <v>2</v>
      </c>
      <c r="T19" s="641" t="str">
        <f t="shared" si="0"/>
        <v>netaik.</v>
      </c>
      <c r="U19" s="655" t="str">
        <f t="shared" si="1"/>
        <v/>
      </c>
      <c r="V19" s="56"/>
      <c r="W19" s="56"/>
      <c r="X19" s="250"/>
      <c r="Y19" s="250"/>
      <c r="Z19" s="250"/>
      <c r="AA19" s="250"/>
    </row>
    <row r="20" spans="1:75">
      <c r="A20" s="56"/>
      <c r="B20" s="836"/>
      <c r="C20" s="267"/>
      <c r="D20" s="178" t="str">
        <f>IF(COUNTIF(CNTR_CheckPFC,S20)=0,"",INDEX(B_InstallationDescription!$D$71:$D$145,MATCH(S20,CNTR_CheckPFC,0)))</f>
        <v/>
      </c>
      <c r="E20" s="1634" t="str">
        <f>IF(D20="","",INDEX(B_InstallationDescription!$Y$71:$Y$145,MATCH(D20,B_InstallationDescription!$D$71:$D$145,0)))</f>
        <v/>
      </c>
      <c r="F20" s="1635"/>
      <c r="G20" s="1636"/>
      <c r="H20" s="1632" t="str">
        <f>IF(D20="","",INDEX(B_InstallationDescription!$E$71:$E$145,MATCH(D20,B_InstallationDescription!$D$71:$D$145,0)))</f>
        <v/>
      </c>
      <c r="I20" s="1632"/>
      <c r="J20" s="1632"/>
      <c r="K20" s="1632"/>
      <c r="L20" s="1633" t="str">
        <f>IF(E20="","",INDEX(B_InstallationDescription!$I$71:$I$145,MATCH(D20,B_InstallationDescription!$D$71:$D$145,0)))</f>
        <v/>
      </c>
      <c r="M20" s="1633"/>
      <c r="N20" s="1633"/>
      <c r="O20" s="757"/>
      <c r="P20" s="56"/>
      <c r="Q20" s="56"/>
      <c r="R20" s="56"/>
      <c r="S20" s="639">
        <v>3</v>
      </c>
      <c r="T20" s="641" t="str">
        <f t="shared" si="0"/>
        <v>netaik.</v>
      </c>
      <c r="U20" s="655" t="str">
        <f t="shared" si="1"/>
        <v/>
      </c>
      <c r="V20" s="56"/>
      <c r="W20" s="56"/>
      <c r="X20" s="250"/>
      <c r="Y20" s="250"/>
      <c r="Z20" s="250"/>
      <c r="AA20" s="250"/>
    </row>
    <row r="21" spans="1:75">
      <c r="A21" s="56"/>
      <c r="B21" s="836"/>
      <c r="C21" s="267"/>
      <c r="D21" s="178" t="str">
        <f>IF(COUNTIF(CNTR_CheckPFC,S21)=0,"",INDEX(B_InstallationDescription!$D$71:$D$145,MATCH(S21,CNTR_CheckPFC,0)))</f>
        <v/>
      </c>
      <c r="E21" s="1634" t="str">
        <f>IF(D21="","",INDEX(B_InstallationDescription!$Y$71:$Y$145,MATCH(D21,B_InstallationDescription!$D$71:$D$145,0)))</f>
        <v/>
      </c>
      <c r="F21" s="1635"/>
      <c r="G21" s="1636"/>
      <c r="H21" s="1632" t="str">
        <f>IF(D21="","",INDEX(B_InstallationDescription!$E$71:$E$145,MATCH(D21,B_InstallationDescription!$D$71:$D$145,0)))</f>
        <v/>
      </c>
      <c r="I21" s="1632"/>
      <c r="J21" s="1632"/>
      <c r="K21" s="1632"/>
      <c r="L21" s="1633" t="str">
        <f>IF(E21="","",INDEX(B_InstallationDescription!$I$71:$I$145,MATCH(D21,B_InstallationDescription!$D$71:$D$145,0)))</f>
        <v/>
      </c>
      <c r="M21" s="1633"/>
      <c r="N21" s="1633"/>
      <c r="O21" s="757"/>
      <c r="P21" s="56"/>
      <c r="Q21" s="56"/>
      <c r="R21" s="56"/>
      <c r="S21" s="639">
        <v>4</v>
      </c>
      <c r="T21" s="641" t="str">
        <f t="shared" si="0"/>
        <v>netaik.</v>
      </c>
      <c r="U21" s="655" t="str">
        <f t="shared" si="1"/>
        <v/>
      </c>
      <c r="V21" s="56"/>
      <c r="W21" s="56"/>
      <c r="X21" s="250"/>
      <c r="Y21" s="250"/>
      <c r="Z21" s="250"/>
      <c r="AA21" s="250"/>
    </row>
    <row r="22" spans="1:75">
      <c r="A22" s="56"/>
      <c r="B22" s="836"/>
      <c r="C22" s="267"/>
      <c r="D22" s="178" t="str">
        <f>IF(COUNTIF(CNTR_CheckPFC,S22)=0,"",INDEX(B_InstallationDescription!$D$71:$D$145,MATCH(S22,CNTR_CheckPFC,0)))</f>
        <v/>
      </c>
      <c r="E22" s="1634" t="str">
        <f>IF(D22="","",INDEX(B_InstallationDescription!$Y$71:$Y$145,MATCH(D22,B_InstallationDescription!$D$71:$D$145,0)))</f>
        <v/>
      </c>
      <c r="F22" s="1635"/>
      <c r="G22" s="1636"/>
      <c r="H22" s="1632" t="str">
        <f>IF(D22="","",INDEX(B_InstallationDescription!$E$71:$E$145,MATCH(D22,B_InstallationDescription!$D$71:$D$145,0)))</f>
        <v/>
      </c>
      <c r="I22" s="1632"/>
      <c r="J22" s="1632"/>
      <c r="K22" s="1632"/>
      <c r="L22" s="1633" t="str">
        <f>IF(E22="","",INDEX(B_InstallationDescription!$I$71:$I$145,MATCH(D22,B_InstallationDescription!$D$71:$D$145,0)))</f>
        <v/>
      </c>
      <c r="M22" s="1633"/>
      <c r="N22" s="1633"/>
      <c r="O22" s="757"/>
      <c r="P22" s="55"/>
      <c r="Q22" s="56"/>
      <c r="R22" s="56"/>
      <c r="S22" s="639">
        <v>5</v>
      </c>
      <c r="T22" s="641" t="str">
        <f t="shared" si="0"/>
        <v>netaik.</v>
      </c>
      <c r="U22" s="655" t="str">
        <f t="shared" si="1"/>
        <v/>
      </c>
      <c r="V22" s="56"/>
      <c r="W22" s="56"/>
      <c r="X22" s="250"/>
      <c r="Y22" s="250"/>
      <c r="Z22" s="250"/>
      <c r="AA22" s="250"/>
    </row>
    <row r="23" spans="1:75">
      <c r="A23" s="56"/>
      <c r="B23" s="836"/>
      <c r="C23" s="267"/>
      <c r="D23" s="178" t="str">
        <f>IF(COUNTIF(CNTR_CheckPFC,S23)=0,"",INDEX(B_InstallationDescription!$D$71:$D$145,MATCH(S23,CNTR_CheckPFC,0)))</f>
        <v/>
      </c>
      <c r="E23" s="1634" t="str">
        <f>IF(D23="","",INDEX(B_InstallationDescription!$Y$71:$Y$145,MATCH(D23,B_InstallationDescription!$D$71:$D$145,0)))</f>
        <v/>
      </c>
      <c r="F23" s="1635"/>
      <c r="G23" s="1636"/>
      <c r="H23" s="1632" t="str">
        <f>IF(D23="","",INDEX(B_InstallationDescription!$E$71:$E$145,MATCH(D23,B_InstallationDescription!$D$71:$D$145,0)))</f>
        <v/>
      </c>
      <c r="I23" s="1632"/>
      <c r="J23" s="1632"/>
      <c r="K23" s="1632"/>
      <c r="L23" s="1633" t="str">
        <f>IF(E23="","",INDEX(B_InstallationDescription!$I$71:$I$145,MATCH(D23,B_InstallationDescription!$D$71:$D$145,0)))</f>
        <v/>
      </c>
      <c r="M23" s="1633"/>
      <c r="N23" s="1633"/>
      <c r="O23" s="757"/>
      <c r="P23" s="56"/>
      <c r="Q23" s="56"/>
      <c r="R23" s="56"/>
      <c r="S23" s="639">
        <v>6</v>
      </c>
      <c r="T23" s="641" t="str">
        <f t="shared" si="0"/>
        <v>netaik.</v>
      </c>
      <c r="U23" s="655" t="str">
        <f t="shared" si="1"/>
        <v/>
      </c>
      <c r="V23" s="56"/>
      <c r="W23" s="56"/>
      <c r="X23" s="250"/>
      <c r="Y23" s="250"/>
      <c r="Z23" s="250"/>
      <c r="AA23" s="250"/>
    </row>
    <row r="24" spans="1:75">
      <c r="A24" s="56"/>
      <c r="B24" s="836"/>
      <c r="C24" s="267"/>
      <c r="D24" s="178" t="str">
        <f>IF(COUNTIF(CNTR_CheckPFC,S24)=0,"",INDEX(B_InstallationDescription!$D$71:$D$145,MATCH(S24,CNTR_CheckPFC,0)))</f>
        <v/>
      </c>
      <c r="E24" s="1634" t="str">
        <f>IF(D24="","",INDEX(B_InstallationDescription!$Y$71:$Y$145,MATCH(D24,B_InstallationDescription!$D$71:$D$145,0)))</f>
        <v/>
      </c>
      <c r="F24" s="1635"/>
      <c r="G24" s="1636"/>
      <c r="H24" s="1632" t="str">
        <f>IF(D24="","",INDEX(B_InstallationDescription!$E$71:$E$145,MATCH(D24,B_InstallationDescription!$D$71:$D$145,0)))</f>
        <v/>
      </c>
      <c r="I24" s="1632"/>
      <c r="J24" s="1632"/>
      <c r="K24" s="1632"/>
      <c r="L24" s="1633" t="str">
        <f>IF(E24="","",INDEX(B_InstallationDescription!$I$71:$I$145,MATCH(D24,B_InstallationDescription!$D$71:$D$145,0)))</f>
        <v/>
      </c>
      <c r="M24" s="1633"/>
      <c r="N24" s="1633"/>
      <c r="O24" s="757"/>
      <c r="P24" s="56"/>
      <c r="Q24" s="56"/>
      <c r="R24" s="56"/>
      <c r="S24" s="639">
        <v>7</v>
      </c>
      <c r="T24" s="641" t="str">
        <f t="shared" si="0"/>
        <v>netaik.</v>
      </c>
      <c r="U24" s="655" t="str">
        <f t="shared" si="1"/>
        <v/>
      </c>
      <c r="V24" s="56"/>
      <c r="W24" s="56"/>
      <c r="X24" s="250"/>
      <c r="Y24" s="250"/>
      <c r="Z24" s="250"/>
      <c r="AA24" s="250"/>
    </row>
    <row r="25" spans="1:75">
      <c r="A25" s="56"/>
      <c r="B25" s="836"/>
      <c r="C25" s="267"/>
      <c r="D25" s="178" t="str">
        <f>IF(COUNTIF(CNTR_CheckPFC,S25)=0,"",INDEX(B_InstallationDescription!$D$71:$D$145,MATCH(S25,CNTR_CheckPFC,0)))</f>
        <v/>
      </c>
      <c r="E25" s="1634" t="str">
        <f>IF(D25="","",INDEX(B_InstallationDescription!$Y$71:$Y$145,MATCH(D25,B_InstallationDescription!$D$71:$D$145,0)))</f>
        <v/>
      </c>
      <c r="F25" s="1635"/>
      <c r="G25" s="1636"/>
      <c r="H25" s="1632" t="str">
        <f>IF(D25="","",INDEX(B_InstallationDescription!$E$71:$E$145,MATCH(D25,B_InstallationDescription!$D$71:$D$145,0)))</f>
        <v/>
      </c>
      <c r="I25" s="1632"/>
      <c r="J25" s="1632"/>
      <c r="K25" s="1632"/>
      <c r="L25" s="1633" t="str">
        <f>IF(E25="","",INDEX(B_InstallationDescription!$I$71:$I$145,MATCH(D25,B_InstallationDescription!$D$71:$D$145,0)))</f>
        <v/>
      </c>
      <c r="M25" s="1633"/>
      <c r="N25" s="1633"/>
      <c r="O25" s="757"/>
      <c r="P25" s="56"/>
      <c r="Q25" s="56"/>
      <c r="R25" s="56"/>
      <c r="S25" s="639">
        <v>8</v>
      </c>
      <c r="T25" s="641" t="str">
        <f t="shared" si="0"/>
        <v>netaik.</v>
      </c>
      <c r="U25" s="655" t="str">
        <f t="shared" si="1"/>
        <v/>
      </c>
      <c r="V25" s="56"/>
      <c r="W25" s="56"/>
      <c r="X25" s="250"/>
      <c r="Y25" s="250"/>
      <c r="Z25" s="250"/>
      <c r="AA25" s="250"/>
    </row>
    <row r="26" spans="1:75">
      <c r="A26" s="56"/>
      <c r="B26" s="836"/>
      <c r="C26" s="267"/>
      <c r="D26" s="178" t="str">
        <f>IF(COUNTIF(CNTR_CheckPFC,S26)=0,"",INDEX(B_InstallationDescription!$D$71:$D$145,MATCH(S26,CNTR_CheckPFC,0)))</f>
        <v/>
      </c>
      <c r="E26" s="1634" t="str">
        <f>IF(D26="","",INDEX(B_InstallationDescription!$Y$71:$Y$145,MATCH(D26,B_InstallationDescription!$D$71:$D$145,0)))</f>
        <v/>
      </c>
      <c r="F26" s="1635"/>
      <c r="G26" s="1636"/>
      <c r="H26" s="1632" t="str">
        <f>IF(D26="","",INDEX(B_InstallationDescription!$E$71:$E$145,MATCH(D26,B_InstallationDescription!$D$71:$D$145,0)))</f>
        <v/>
      </c>
      <c r="I26" s="1632"/>
      <c r="J26" s="1632"/>
      <c r="K26" s="1632"/>
      <c r="L26" s="1633" t="str">
        <f>IF(E26="","",INDEX(B_InstallationDescription!$I$71:$I$145,MATCH(D26,B_InstallationDescription!$D$71:$D$145,0)))</f>
        <v/>
      </c>
      <c r="M26" s="1633"/>
      <c r="N26" s="1633"/>
      <c r="O26" s="757"/>
      <c r="P26" s="56"/>
      <c r="Q26" s="56"/>
      <c r="R26" s="56"/>
      <c r="S26" s="639">
        <v>9</v>
      </c>
      <c r="T26" s="641" t="str">
        <f t="shared" si="0"/>
        <v>netaik.</v>
      </c>
      <c r="U26" s="655" t="str">
        <f t="shared" si="1"/>
        <v/>
      </c>
      <c r="V26" s="56"/>
      <c r="W26" s="56"/>
      <c r="X26" s="250"/>
      <c r="Y26" s="250"/>
      <c r="Z26" s="250"/>
      <c r="AA26" s="250"/>
    </row>
    <row r="27" spans="1:75" ht="13.5" thickBot="1">
      <c r="A27" s="56"/>
      <c r="B27" s="836"/>
      <c r="C27" s="267"/>
      <c r="D27" s="178" t="str">
        <f>IF(COUNTIF(CNTR_CheckPFC,S27)=0,"",INDEX(B_InstallationDescription!$D$71:$D$145,MATCH(S27,CNTR_CheckPFC,0)))</f>
        <v/>
      </c>
      <c r="E27" s="1634" t="str">
        <f>IF(D27="","",INDEX(B_InstallationDescription!$Y$71:$Y$145,MATCH(D27,B_InstallationDescription!$D$71:$D$145,0)))</f>
        <v/>
      </c>
      <c r="F27" s="1635"/>
      <c r="G27" s="1636"/>
      <c r="H27" s="1632" t="str">
        <f>IF(D27="","",INDEX(B_InstallationDescription!$E$71:$E$145,MATCH(D27,B_InstallationDescription!$D$71:$D$145,0)))</f>
        <v/>
      </c>
      <c r="I27" s="1632"/>
      <c r="J27" s="1632"/>
      <c r="K27" s="1632"/>
      <c r="L27" s="1633" t="str">
        <f>IF(E27="","",INDEX(B_InstallationDescription!$I$71:$I$145,MATCH(D27,B_InstallationDescription!$D$71:$D$145,0)))</f>
        <v/>
      </c>
      <c r="M27" s="1633"/>
      <c r="N27" s="1633"/>
      <c r="O27" s="757"/>
      <c r="P27" s="56"/>
      <c r="Q27" s="56"/>
      <c r="R27" s="56"/>
      <c r="S27" s="639">
        <v>10</v>
      </c>
      <c r="T27" s="642" t="str">
        <f t="shared" si="0"/>
        <v>netaik.</v>
      </c>
      <c r="U27" s="656" t="str">
        <f t="shared" si="1"/>
        <v/>
      </c>
      <c r="V27" s="56"/>
      <c r="W27" s="56"/>
      <c r="X27" s="250"/>
      <c r="Y27" s="250"/>
      <c r="Z27" s="250"/>
      <c r="AA27" s="250"/>
    </row>
    <row r="28" spans="1:75">
      <c r="A28" s="56"/>
      <c r="B28" s="836"/>
      <c r="C28" s="267"/>
      <c r="D28" s="265"/>
      <c r="E28" s="265"/>
      <c r="F28" s="265"/>
      <c r="G28" s="265"/>
      <c r="H28" s="265"/>
      <c r="I28" s="265"/>
      <c r="J28" s="265"/>
      <c r="K28" s="266"/>
      <c r="L28" s="266"/>
      <c r="M28" s="266"/>
      <c r="N28" s="266"/>
      <c r="O28" s="757"/>
      <c r="P28" s="56"/>
      <c r="Q28" s="56"/>
      <c r="R28" s="56"/>
      <c r="S28" s="56"/>
      <c r="T28" s="56"/>
      <c r="U28" s="56"/>
      <c r="V28" s="56"/>
      <c r="W28" s="56"/>
      <c r="X28" s="250"/>
      <c r="Y28" s="250"/>
      <c r="Z28" s="250"/>
      <c r="AA28" s="250"/>
    </row>
    <row r="29" spans="1:75" s="1114" customFormat="1" ht="18.75" customHeight="1">
      <c r="A29" s="808"/>
      <c r="B29" s="842"/>
      <c r="C29" s="717">
        <v>12</v>
      </c>
      <c r="D29" s="1512" t="str">
        <f>Translations!$B$720</f>
        <v>Išmetamųjų PFC sukėlikliai</v>
      </c>
      <c r="E29" s="1512"/>
      <c r="F29" s="1512"/>
      <c r="G29" s="1512"/>
      <c r="H29" s="1512"/>
      <c r="I29" s="1512"/>
      <c r="J29" s="1512"/>
      <c r="K29" s="1512"/>
      <c r="L29" s="1512"/>
      <c r="M29" s="1512"/>
      <c r="N29" s="1512"/>
      <c r="O29" s="735"/>
      <c r="P29" s="392"/>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2"/>
      <c r="BM29" s="1112"/>
      <c r="BN29" s="1112"/>
      <c r="BO29" s="1112"/>
      <c r="BP29" s="1112"/>
      <c r="BQ29" s="1112"/>
      <c r="BR29" s="1112"/>
      <c r="BS29" s="1112"/>
      <c r="BT29" s="1112"/>
      <c r="BU29" s="1112"/>
      <c r="BV29" s="1112"/>
      <c r="BW29" s="1112"/>
    </row>
    <row r="30" spans="1:75" ht="5.0999999999999996" customHeight="1">
      <c r="A30" s="56"/>
      <c r="B30" s="842"/>
      <c r="C30" s="267"/>
      <c r="D30" s="265"/>
      <c r="E30" s="265"/>
      <c r="F30" s="265"/>
      <c r="G30" s="265"/>
      <c r="H30" s="265"/>
      <c r="I30" s="265"/>
      <c r="J30" s="265"/>
      <c r="K30" s="266"/>
      <c r="L30" s="266"/>
      <c r="M30" s="266"/>
      <c r="N30" s="266"/>
      <c r="O30" s="757"/>
      <c r="P30" s="56"/>
      <c r="Q30" s="56"/>
      <c r="R30" s="56"/>
      <c r="S30" s="56"/>
      <c r="T30" s="56"/>
      <c r="U30" s="56"/>
      <c r="V30" s="56"/>
      <c r="W30" s="56"/>
      <c r="X30" s="250"/>
      <c r="Y30" s="250"/>
      <c r="Z30" s="250"/>
      <c r="AA30" s="250"/>
    </row>
    <row r="31" spans="1:75" ht="25.5" customHeight="1">
      <c r="A31" s="781"/>
      <c r="B31" s="842"/>
      <c r="C31" s="495"/>
      <c r="D31" s="9"/>
      <c r="E31" s="1551" t="str">
        <f>Translations!$B$620</f>
        <v>Svarbu! Nuoseklumo sumetimais sukėliklius įveskite tokia pat eilės tvarka, kaip pateikta 7 dalies b punkte ir Jūsų naujausiame patvirtintame stebėsenos plane (tokia pat eilės tvarka ir naudodami tokius pat identifikatorius).</v>
      </c>
      <c r="F31" s="1551"/>
      <c r="G31" s="1551"/>
      <c r="H31" s="1551"/>
      <c r="I31" s="1551"/>
      <c r="J31" s="1551"/>
      <c r="K31" s="1551"/>
      <c r="L31" s="1551"/>
      <c r="M31" s="1551"/>
      <c r="N31" s="1551"/>
      <c r="O31" s="1104"/>
      <c r="P31" s="392"/>
      <c r="Q31" s="392"/>
      <c r="R31" s="392"/>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c r="A32" s="884"/>
      <c r="B32" s="842"/>
      <c r="C32" s="495"/>
      <c r="D32" s="9"/>
      <c r="E32" s="1094"/>
      <c r="F32" s="1094"/>
      <c r="G32" s="1094"/>
      <c r="H32" s="1094"/>
      <c r="I32" s="1094"/>
      <c r="J32" s="1094"/>
      <c r="K32" s="1094"/>
      <c r="L32" s="1094"/>
      <c r="M32" s="1094"/>
      <c r="N32" s="1094"/>
      <c r="O32" s="1104"/>
      <c r="P32" s="392"/>
      <c r="Q32" s="392"/>
      <c r="R32" s="392"/>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5" customFormat="1" ht="15" customHeight="1">
      <c r="A33" s="23"/>
      <c r="B33" s="842"/>
      <c r="C33" s="391"/>
      <c r="D33" s="812"/>
      <c r="E33" s="1568" t="str">
        <f>Translations!$B$621</f>
        <v>Santrumpos:</v>
      </c>
      <c r="F33" s="1568"/>
      <c r="G33" s="1568"/>
      <c r="H33" s="1568"/>
      <c r="I33" s="1568"/>
      <c r="J33" s="1568"/>
      <c r="K33" s="1568"/>
      <c r="L33" s="1568"/>
      <c r="M33" s="1568"/>
      <c r="N33" s="1568"/>
      <c r="O33" s="737"/>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c r="A34" s="56"/>
      <c r="B34" s="791"/>
      <c r="C34" s="206"/>
      <c r="D34" s="206"/>
      <c r="E34" s="237" t="str">
        <f>Translations!$B$622</f>
        <v>VD:</v>
      </c>
      <c r="F34" s="1567" t="str">
        <f>Translations!$B$721</f>
        <v>Veiklos duomenys – per metus pagaminamas pirminio aliuminio kiekis.</v>
      </c>
      <c r="G34" s="1567"/>
      <c r="H34" s="1567"/>
      <c r="I34" s="1567"/>
      <c r="J34" s="1567"/>
      <c r="K34" s="1567"/>
      <c r="L34" s="1567"/>
      <c r="M34" s="1567"/>
      <c r="N34" s="1567"/>
      <c r="O34" s="738"/>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c r="A35" s="56"/>
      <c r="B35" s="791"/>
      <c r="C35" s="206"/>
      <c r="D35" s="206"/>
      <c r="E35" s="237" t="str">
        <f>Translations!$B$722</f>
        <v>A. Dažnis</v>
      </c>
      <c r="F35" s="1567" t="str">
        <f>Translations!$B$723</f>
        <v>Anodinių efektų dažnis (anodinių efektų skaičius vienoje elektrolizės vonioje per parą)</v>
      </c>
      <c r="G35" s="1567"/>
      <c r="H35" s="1567"/>
      <c r="I35" s="1567"/>
      <c r="J35" s="1567"/>
      <c r="K35" s="1567"/>
      <c r="L35" s="1567"/>
      <c r="M35" s="1567"/>
      <c r="N35" s="1567"/>
      <c r="O35" s="738"/>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6" customFormat="1" ht="12.75" customHeight="1">
      <c r="A36" s="68"/>
      <c r="B36" s="789"/>
      <c r="C36" s="5"/>
      <c r="D36" s="5"/>
      <c r="E36" s="238" t="str">
        <f>Translations!$B$724</f>
        <v>A. Trukmė</v>
      </c>
      <c r="F36" s="1567" t="str">
        <f>Translations!$B$725</f>
        <v>Vidutinė anodinių efektų trukmė (anodinių efektų trukmės minutėmis ir dažnio santykis)</v>
      </c>
      <c r="G36" s="1567"/>
      <c r="H36" s="1567"/>
      <c r="I36" s="1567"/>
      <c r="J36" s="1567"/>
      <c r="K36" s="1567"/>
      <c r="L36" s="1567"/>
      <c r="M36" s="1567"/>
      <c r="N36" s="1567"/>
      <c r="O36" s="739"/>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c r="A37" s="68"/>
      <c r="B37" s="789"/>
      <c r="C37" s="5"/>
      <c r="D37" s="5"/>
      <c r="E37" s="238" t="str">
        <f>Translations!$B$726</f>
        <v>A. NITF(CF4)</v>
      </c>
      <c r="F37" s="1567" t="str">
        <f>Translations!$B$727</f>
        <v>Išmetamųjų teršalų faktorius pagal nuolydžio metodą.</v>
      </c>
      <c r="G37" s="1567"/>
      <c r="H37" s="1567"/>
      <c r="I37" s="1567"/>
      <c r="J37" s="1567"/>
      <c r="K37" s="1567"/>
      <c r="L37" s="1567"/>
      <c r="M37" s="1567"/>
      <c r="N37" s="1567"/>
      <c r="O37" s="739"/>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c r="A38" s="68"/>
      <c r="B38" s="789"/>
      <c r="C38" s="5"/>
      <c r="D38" s="5"/>
      <c r="E38" s="238" t="str">
        <f>Translations!$B$728</f>
        <v>B. AEV</v>
      </c>
      <c r="F38" s="1567" t="str">
        <f>Translations!$B$729</f>
        <v>Vienos elektrolizės vonios anodinio efekto viršįtampis.</v>
      </c>
      <c r="G38" s="1567"/>
      <c r="H38" s="1567"/>
      <c r="I38" s="1567"/>
      <c r="J38" s="1567"/>
      <c r="K38" s="1567"/>
      <c r="L38" s="1567"/>
      <c r="M38" s="1567"/>
      <c r="N38" s="1567"/>
      <c r="O38" s="739"/>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c r="A39" s="68"/>
      <c r="B39" s="789"/>
      <c r="C39" s="5"/>
      <c r="D39" s="5"/>
      <c r="E39" s="238" t="str">
        <f>Translations!$B$730</f>
        <v>B. EN</v>
      </c>
      <c r="F39" s="1567" t="str">
        <f>Translations!$B$731</f>
        <v>Vidutinis esamas našumas.</v>
      </c>
      <c r="G39" s="1567"/>
      <c r="H39" s="1567"/>
      <c r="I39" s="1567"/>
      <c r="J39" s="1567"/>
      <c r="K39" s="1567"/>
      <c r="L39" s="1567"/>
      <c r="M39" s="1567"/>
      <c r="N39" s="1567"/>
      <c r="O39" s="739"/>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c r="A40" s="68"/>
      <c r="B40" s="789"/>
      <c r="C40" s="5"/>
      <c r="D40" s="5"/>
      <c r="E40" s="238" t="str">
        <f>Translations!$B$732</f>
        <v>B. VĮK</v>
      </c>
      <c r="F40" s="1567" t="str">
        <f>Translations!$B$733</f>
        <v>Viršįtampio koeficientas (išmetamųjų teršalų faktorius).</v>
      </c>
      <c r="G40" s="1567"/>
      <c r="H40" s="1567"/>
      <c r="I40" s="1567"/>
      <c r="J40" s="1567"/>
      <c r="K40" s="1567"/>
      <c r="L40" s="1567"/>
      <c r="M40" s="1567"/>
      <c r="N40" s="1567"/>
      <c r="O40" s="739"/>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c r="A41" s="56"/>
      <c r="B41" s="791"/>
      <c r="C41" s="206"/>
      <c r="D41" s="206"/>
      <c r="E41" s="237" t="str">
        <f>Translations!$B$734</f>
        <v>F(C2F6)</v>
      </c>
      <c r="F41" s="1567" t="str">
        <f>Translations!$B$735</f>
        <v>C2F6 svorio dalis.</v>
      </c>
      <c r="G41" s="1567"/>
      <c r="H41" s="1567"/>
      <c r="I41" s="1567"/>
      <c r="J41" s="1567"/>
      <c r="K41" s="1567"/>
      <c r="L41" s="1567"/>
      <c r="M41" s="1567"/>
      <c r="N41" s="1567"/>
      <c r="O41" s="738"/>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c r="A42" s="56"/>
      <c r="B42" s="791"/>
      <c r="C42" s="206"/>
      <c r="D42" s="206"/>
      <c r="E42" s="237" t="str">
        <f>Translations!$B$736</f>
        <v>VAP(CF4)</v>
      </c>
      <c r="F42" s="1567" t="str">
        <f>Translations!$B$737</f>
        <v>CF4 visuotinio atšilimo potencialas.</v>
      </c>
      <c r="G42" s="1567"/>
      <c r="H42" s="1567"/>
      <c r="I42" s="1567"/>
      <c r="J42" s="1567"/>
      <c r="K42" s="1567"/>
      <c r="L42" s="1567"/>
      <c r="M42" s="1567"/>
      <c r="N42" s="1567"/>
      <c r="O42" s="738"/>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5" customFormat="1" ht="12.75" customHeight="1">
      <c r="A43" s="23"/>
      <c r="B43" s="789"/>
      <c r="C43" s="5"/>
      <c r="D43" s="31"/>
      <c r="E43" s="237" t="str">
        <f>Translations!$B$738</f>
        <v>VAP(C2F6)</v>
      </c>
      <c r="F43" s="1567" t="str">
        <f>Translations!$B$739</f>
        <v>C2F6 visuotinio atšilimo potencialas.</v>
      </c>
      <c r="G43" s="1567"/>
      <c r="H43" s="1567"/>
      <c r="I43" s="1567"/>
      <c r="J43" s="1567"/>
      <c r="K43" s="1567"/>
      <c r="L43" s="1567"/>
      <c r="M43" s="1567"/>
      <c r="N43" s="1567"/>
      <c r="O43" s="732"/>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5" customFormat="1" ht="15" customHeight="1">
      <c r="A44" s="23"/>
      <c r="B44" s="837"/>
      <c r="C44" s="391"/>
      <c r="D44" s="812"/>
      <c r="E44" s="812"/>
      <c r="F44" s="812"/>
      <c r="G44" s="812"/>
      <c r="H44" s="812"/>
      <c r="I44" s="812"/>
      <c r="J44" s="812"/>
      <c r="K44" s="812"/>
      <c r="L44" s="812"/>
      <c r="M44" s="812"/>
      <c r="N44" s="812"/>
      <c r="O44" s="737"/>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5" customFormat="1" ht="15" customHeight="1">
      <c r="A45" s="23"/>
      <c r="B45" s="837"/>
      <c r="C45" s="391"/>
      <c r="D45" s="810"/>
      <c r="E45" s="1498" t="str">
        <f>Translations!$B$650</f>
        <v>Apskaičiavimo faktorių pakopos:</v>
      </c>
      <c r="F45" s="1498"/>
      <c r="G45" s="1498"/>
      <c r="H45" s="1498"/>
      <c r="I45" s="1498"/>
      <c r="J45" s="1498"/>
      <c r="K45" s="1498"/>
      <c r="L45" s="1498"/>
      <c r="M45" s="1498"/>
      <c r="N45" s="1498"/>
      <c r="O45" s="737"/>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5" customFormat="1" ht="5.0999999999999996" customHeight="1">
      <c r="A46" s="23"/>
      <c r="B46" s="837"/>
      <c r="C46" s="391"/>
      <c r="D46" s="812"/>
      <c r="E46" s="812"/>
      <c r="F46" s="812"/>
      <c r="G46" s="812"/>
      <c r="H46" s="812"/>
      <c r="I46" s="812"/>
      <c r="J46" s="812"/>
      <c r="K46" s="812"/>
      <c r="L46" s="812"/>
      <c r="M46" s="812"/>
      <c r="N46" s="812"/>
      <c r="O46" s="737"/>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5" customFormat="1" ht="25.5" customHeight="1">
      <c r="A47" s="23"/>
      <c r="B47" s="837"/>
      <c r="C47" s="391"/>
      <c r="D47" s="9"/>
      <c r="E47" s="1494" t="str">
        <f>Translations!$B$651</f>
        <v>Pagal 30 straipsnio 1 dalį apskaičiavimo faktoriai gali būti nustatomi kaip numatytosios vertės arba laboratorinės analizės būdu. Tai, kuris variantas turėtų būti taikomas, priklauso nuo taikomos pakopos.</v>
      </c>
      <c r="F47" s="1494"/>
      <c r="G47" s="1494"/>
      <c r="H47" s="1494"/>
      <c r="I47" s="1494"/>
      <c r="J47" s="1494"/>
      <c r="K47" s="1494"/>
      <c r="L47" s="1494"/>
      <c r="M47" s="1494"/>
      <c r="N47" s="1494"/>
      <c r="O47" s="73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5" customFormat="1" ht="12.75" customHeight="1">
      <c r="A48" s="23"/>
      <c r="B48" s="837"/>
      <c r="C48" s="391"/>
      <c r="D48" s="9"/>
      <c r="E48" s="1552" t="str">
        <f>Translations!$B$652</f>
        <v>Galima rinktis iš šių pakopų kategorijų (pagal rekomendacinį dokumentą Nr. 1):</v>
      </c>
      <c r="F48" s="1552"/>
      <c r="G48" s="1552"/>
      <c r="H48" s="1552"/>
      <c r="I48" s="1552"/>
      <c r="J48" s="1552"/>
      <c r="K48" s="1552"/>
      <c r="L48" s="1552"/>
      <c r="M48" s="1552"/>
      <c r="N48" s="1552"/>
      <c r="O48" s="73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c r="A49" s="56"/>
      <c r="B49" s="791"/>
      <c r="C49" s="206"/>
      <c r="D49" s="206"/>
      <c r="E49" s="237" t="str">
        <f>Translations!$B$740</f>
        <v>A metodas, I tipas</v>
      </c>
      <c r="F49" s="1567" t="str">
        <f>Translations!$B$741</f>
        <v>I tipo numatytoji vertė: SAR IV priedo 8 skirsnio 1 lentelėje konkrečioms technologijoms nustatyti išmetamųjų teršalų faktoriai.</v>
      </c>
      <c r="G49" s="1567"/>
      <c r="H49" s="1567"/>
      <c r="I49" s="1567"/>
      <c r="J49" s="1567"/>
      <c r="K49" s="1567"/>
      <c r="L49" s="1567"/>
      <c r="M49" s="1567"/>
      <c r="N49" s="1567"/>
      <c r="O49" s="738"/>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c r="A50" s="56"/>
      <c r="B50" s="791"/>
      <c r="C50" s="206"/>
      <c r="D50" s="206"/>
      <c r="E50" s="237" t="str">
        <f>Translations!$B$742</f>
        <v>B metodas, I tipas</v>
      </c>
      <c r="F50" s="1567" t="str">
        <f>Translations!$B$743</f>
        <v>I tipo numatytoji vertė: SAR IV priedo 8 skirsnio 2 lentelėje konkrečioms technologijoms nustatyti išmetamųjų teršalų faktoriai.</v>
      </c>
      <c r="G50" s="1567"/>
      <c r="H50" s="1567"/>
      <c r="I50" s="1567"/>
      <c r="J50" s="1567"/>
      <c r="K50" s="1567"/>
      <c r="L50" s="1567"/>
      <c r="M50" s="1567"/>
      <c r="N50" s="1567"/>
      <c r="O50" s="738"/>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c r="A51" s="56"/>
      <c r="B51" s="791"/>
      <c r="C51" s="206"/>
      <c r="D51" s="206"/>
      <c r="E51" s="237" t="str">
        <f>Translations!$B$744</f>
        <v>Konkretus ITF</v>
      </c>
      <c r="F51" s="156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7"/>
      <c r="H51" s="1567"/>
      <c r="I51" s="1567"/>
      <c r="J51" s="1567"/>
      <c r="K51" s="1567"/>
      <c r="L51" s="1567"/>
      <c r="M51" s="1567"/>
      <c r="N51" s="1567"/>
      <c r="O51" s="738"/>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c r="A52" s="56"/>
      <c r="B52" s="793"/>
      <c r="C52" s="206"/>
      <c r="D52" s="206"/>
      <c r="E52" s="206"/>
      <c r="F52" s="206"/>
      <c r="G52" s="206"/>
      <c r="H52" s="206"/>
      <c r="I52" s="206"/>
      <c r="J52" s="206"/>
      <c r="K52" s="206"/>
      <c r="L52" s="206"/>
      <c r="M52" s="206"/>
      <c r="N52" s="206"/>
      <c r="O52" s="736"/>
      <c r="P52" s="392"/>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5" customFormat="1" ht="15" customHeight="1">
      <c r="A53" s="23"/>
      <c r="B53" s="837"/>
      <c r="C53" s="391"/>
      <c r="D53" s="810"/>
      <c r="E53" s="1568" t="str">
        <f>Translations!$B$662</f>
        <v>Pranešimai apie klaidas:</v>
      </c>
      <c r="F53" s="1568"/>
      <c r="G53" s="1568"/>
      <c r="H53" s="1568"/>
      <c r="I53" s="1568"/>
      <c r="J53" s="1568"/>
      <c r="K53" s="1568"/>
      <c r="L53" s="1568"/>
      <c r="M53" s="1568"/>
      <c r="N53" s="1568"/>
      <c r="O53" s="737"/>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c r="A54" s="56"/>
      <c r="B54" s="791"/>
      <c r="C54" s="206"/>
      <c r="D54" s="206"/>
      <c r="E54" s="237" t="str">
        <f>EUconst_ERR_Incomplete</f>
        <v>Nebaigta!</v>
      </c>
      <c r="F54" s="1567" t="str">
        <f>Translations!$B$663</f>
        <v>Šis pranešimas apie klaidą reiškia, kad įrašai šioje eilutėje yra privalomi, bet jų nėra.</v>
      </c>
      <c r="G54" s="1567"/>
      <c r="H54" s="1567"/>
      <c r="I54" s="1567"/>
      <c r="J54" s="1567"/>
      <c r="K54" s="1567"/>
      <c r="L54" s="1567"/>
      <c r="M54" s="1567"/>
      <c r="N54" s="1567"/>
      <c r="O54" s="738"/>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c r="A55" s="56"/>
      <c r="B55" s="791"/>
      <c r="C55" s="206"/>
      <c r="D55" s="206"/>
      <c r="E55" s="237" t="str">
        <f>EUconst_ERR_Inconsistent</f>
        <v>Nenuoseklu!</v>
      </c>
      <c r="F55" s="1567" t="str">
        <f>Translations!$B$746</f>
        <v>Šis pranešimas apie klaidą reiškia, kad įrašai nenuoseklūs. Galimos neatitiktys gali būti susijusios su duomenų įvedimu faktoriams, kurie neaktualūs šiems sukėlikliams, arba procentinėmis vertėmis, viršijančiomis 100 proc.</v>
      </c>
      <c r="G55" s="1567"/>
      <c r="H55" s="1567"/>
      <c r="I55" s="1567"/>
      <c r="J55" s="1567"/>
      <c r="K55" s="1567"/>
      <c r="L55" s="1567"/>
      <c r="M55" s="1567"/>
      <c r="N55" s="1567"/>
      <c r="O55" s="738"/>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c r="A56" s="55"/>
      <c r="B56" s="793"/>
      <c r="C56" s="36"/>
      <c r="D56" s="37"/>
      <c r="E56" s="38"/>
      <c r="F56" s="36"/>
      <c r="G56" s="39"/>
      <c r="H56" s="39"/>
      <c r="I56" s="39"/>
      <c r="J56" s="39"/>
      <c r="K56" s="39"/>
      <c r="L56" s="39"/>
      <c r="M56" s="39"/>
      <c r="N56" s="39"/>
      <c r="O56" s="757"/>
      <c r="P56" s="392"/>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4" customFormat="1" ht="12.75" customHeight="1" thickBot="1">
      <c r="A57" s="491"/>
      <c r="B57" s="838"/>
      <c r="C57" s="495"/>
      <c r="D57" s="180"/>
      <c r="E57" s="496"/>
      <c r="F57" s="495"/>
      <c r="G57" s="487"/>
      <c r="H57" s="487"/>
      <c r="I57" s="487"/>
      <c r="J57" s="487"/>
      <c r="K57" s="495"/>
      <c r="L57" s="487"/>
      <c r="M57" s="487"/>
      <c r="N57" s="487"/>
      <c r="O57" s="740"/>
      <c r="P57" s="494"/>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7" customFormat="1" ht="15" customHeight="1" thickBot="1">
      <c r="A58" s="58"/>
      <c r="B58" s="790"/>
      <c r="C58" s="617">
        <v>1</v>
      </c>
      <c r="D58" s="343"/>
      <c r="E58" s="1542"/>
      <c r="F58" s="1543"/>
      <c r="G58" s="1543"/>
      <c r="H58" s="1543"/>
      <c r="I58" s="1543"/>
      <c r="J58" s="1544"/>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7" t="str">
        <f>IF(ISBLANK(E58),"",MATCH(E58,CNTR_SourceStreamNames,0))</f>
        <v/>
      </c>
      <c r="S58" s="618" t="str">
        <f>IF(ISBLANK(E58),"",INDEX(B_InstallationDescription!$D$71:$D$145,MATCH(E58,CNTR_SourceStreamNames,0)))</f>
        <v/>
      </c>
      <c r="T58" s="509" t="s">
        <v>393</v>
      </c>
      <c r="U58" s="686" t="s">
        <v>67</v>
      </c>
      <c r="V58" s="58"/>
      <c r="W58" s="58"/>
      <c r="X58" s="58"/>
      <c r="Y58" s="58"/>
      <c r="Z58" s="58"/>
      <c r="AA58" s="58"/>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3"/>
    </row>
    <row r="59" spans="1:63" s="1117" customFormat="1" ht="15" customHeight="1" thickBot="1">
      <c r="A59" s="58"/>
      <c r="B59" s="790"/>
      <c r="C59" s="166"/>
      <c r="D59" s="166"/>
      <c r="E59" s="1547" t="str">
        <f>IF(E58="","",IF(INDEX(B_InstallationDescription!$E$71:$E$145,MATCH(S58,B_InstallationDescription!$D$71:$D$145,0))&gt;0,INDEX(B_InstallationDescription!$E$71:$E$145,MATCH(S58,B_InstallationDescription!$D$71:$D$145,0)),""))</f>
        <v/>
      </c>
      <c r="F59" s="1548"/>
      <c r="G59" s="1548"/>
      <c r="H59" s="1548"/>
      <c r="I59" s="1548"/>
      <c r="J59" s="1549"/>
      <c r="K59" s="142"/>
      <c r="L59" s="142"/>
      <c r="M59" s="143"/>
      <c r="N59" s="143"/>
      <c r="O59" s="733"/>
      <c r="P59" s="494"/>
      <c r="Q59" s="30"/>
      <c r="R59" s="27" t="s">
        <v>93</v>
      </c>
      <c r="S59" s="30"/>
      <c r="T59" s="578" t="b">
        <v>1</v>
      </c>
      <c r="U59" s="518" t="str">
        <f>IF(E59="","",INDEX(CNTR_PFCMethod,MATCH(E58,CNTR_PFCSourceStreamNames,0)))</f>
        <v/>
      </c>
      <c r="V59" s="30"/>
      <c r="W59" s="494"/>
      <c r="X59" s="30"/>
      <c r="Y59" s="30"/>
      <c r="Z59" s="30"/>
      <c r="AA59" s="30"/>
      <c r="AB59" s="342"/>
      <c r="AC59" s="27" t="s">
        <v>308</v>
      </c>
      <c r="AD59" s="30"/>
      <c r="AE59" s="30"/>
      <c r="AF59" s="30"/>
      <c r="AG59" s="30"/>
      <c r="AH59" s="30"/>
      <c r="AI59" s="27" t="s">
        <v>315</v>
      </c>
      <c r="AJ59" s="30"/>
      <c r="AK59" s="30"/>
      <c r="AL59" s="30"/>
      <c r="AM59" s="30"/>
      <c r="AN59" s="27" t="s">
        <v>219</v>
      </c>
      <c r="AO59" s="30"/>
      <c r="AP59" s="30"/>
      <c r="AQ59" s="30"/>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0"/>
      <c r="BJ59" s="30"/>
      <c r="BK59" s="23"/>
    </row>
    <row r="60" spans="1:63" s="1117" customFormat="1" ht="5.0999999999999996" customHeight="1">
      <c r="A60" s="58"/>
      <c r="B60" s="790"/>
      <c r="C60" s="166"/>
      <c r="D60" s="166"/>
      <c r="E60" s="166"/>
      <c r="F60" s="166"/>
      <c r="G60" s="166"/>
      <c r="H60" s="142"/>
      <c r="I60" s="142"/>
      <c r="J60" s="142"/>
      <c r="K60" s="142"/>
      <c r="L60" s="142"/>
      <c r="M60" s="143"/>
      <c r="N60" s="143"/>
      <c r="O60" s="733"/>
      <c r="P60" s="33"/>
      <c r="Q60" s="30"/>
      <c r="R60" s="489"/>
      <c r="S60" s="30"/>
      <c r="T60" s="30"/>
      <c r="U60" s="30"/>
      <c r="V60" s="30"/>
      <c r="W60" s="494"/>
      <c r="X60" s="30"/>
      <c r="Y60" s="30"/>
      <c r="Z60" s="30"/>
      <c r="AA60" s="30"/>
      <c r="AB60" s="342"/>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7" customFormat="1" ht="12.75" customHeight="1">
      <c r="A61" s="58"/>
      <c r="B61" s="790"/>
      <c r="C61" s="166"/>
      <c r="D61" s="166"/>
      <c r="E61" s="1550" t="str">
        <f>IF(E58="","",HYPERLINK("#JUMP_14",EUconst_FurtherGuidancePoint1))</f>
        <v/>
      </c>
      <c r="F61" s="1550"/>
      <c r="G61" s="1550"/>
      <c r="H61" s="1550"/>
      <c r="I61" s="1550"/>
      <c r="J61" s="1550"/>
      <c r="K61" s="1550"/>
      <c r="L61" s="1550"/>
      <c r="M61" s="143"/>
      <c r="N61" s="143"/>
      <c r="O61" s="733"/>
      <c r="P61" s="33"/>
      <c r="Q61" s="30"/>
      <c r="R61" s="489"/>
      <c r="S61" s="30"/>
      <c r="T61" s="30"/>
      <c r="U61" s="30"/>
      <c r="V61" s="30"/>
      <c r="W61" s="494"/>
      <c r="X61" s="30"/>
      <c r="Y61" s="30"/>
      <c r="Z61" s="30"/>
      <c r="AA61" s="30"/>
      <c r="AB61" s="342"/>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7" customFormat="1" ht="5.0999999999999996" customHeight="1">
      <c r="A62" s="58"/>
      <c r="B62" s="790"/>
      <c r="C62" s="166"/>
      <c r="D62" s="166"/>
      <c r="E62" s="166"/>
      <c r="F62" s="166"/>
      <c r="G62" s="166"/>
      <c r="H62" s="142"/>
      <c r="I62" s="142"/>
      <c r="J62" s="142"/>
      <c r="K62" s="142"/>
      <c r="L62" s="142"/>
      <c r="M62" s="143"/>
      <c r="N62" s="143"/>
      <c r="O62" s="733"/>
      <c r="P62" s="33"/>
      <c r="Q62" s="30"/>
      <c r="R62" s="489"/>
      <c r="S62" s="30"/>
      <c r="T62" s="30"/>
      <c r="U62" s="30"/>
      <c r="V62" s="30"/>
      <c r="W62" s="494"/>
      <c r="X62" s="30"/>
      <c r="Y62" s="30"/>
      <c r="Z62" s="30"/>
      <c r="AA62" s="30"/>
      <c r="AB62" s="342"/>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7" customFormat="1" ht="12.75" customHeight="1" thickBot="1">
      <c r="A63" s="58"/>
      <c r="B63" s="790"/>
      <c r="C63" s="166"/>
      <c r="D63" s="166"/>
      <c r="E63" s="166"/>
      <c r="F63" s="506" t="str">
        <f>Translations!$B$333</f>
        <v>Pakopa</v>
      </c>
      <c r="G63" s="1557" t="str">
        <f>Translations!$B$672</f>
        <v>pakopos aprašas</v>
      </c>
      <c r="H63" s="1557"/>
      <c r="I63" s="1555" t="str">
        <f>Translations!$B$158</f>
        <v>Vienetas</v>
      </c>
      <c r="J63" s="1555"/>
      <c r="K63" s="1555" t="str">
        <f>Translations!$B$673</f>
        <v>Vertė</v>
      </c>
      <c r="L63" s="1555"/>
      <c r="M63" s="507" t="str">
        <f>Translations!$B$610</f>
        <v>klaida</v>
      </c>
      <c r="N63" s="142"/>
      <c r="O63" s="733"/>
      <c r="P63" s="508"/>
      <c r="Q63" s="30"/>
      <c r="R63" s="489"/>
      <c r="S63" s="30"/>
      <c r="T63" s="509" t="s">
        <v>303</v>
      </c>
      <c r="U63" s="30"/>
      <c r="V63" s="30"/>
      <c r="W63" s="494" t="s">
        <v>566</v>
      </c>
      <c r="X63" s="494" t="s">
        <v>318</v>
      </c>
      <c r="Y63" s="30"/>
      <c r="Z63" s="30"/>
      <c r="AA63" s="505" t="s">
        <v>309</v>
      </c>
      <c r="AB63" s="342"/>
      <c r="AC63" s="492" t="s">
        <v>306</v>
      </c>
      <c r="AD63" s="504" t="s">
        <v>569</v>
      </c>
      <c r="AE63" s="504" t="s">
        <v>568</v>
      </c>
      <c r="AF63" s="510"/>
      <c r="AG63" s="510"/>
      <c r="AH63" s="30"/>
      <c r="AI63" s="492"/>
      <c r="AJ63" s="492"/>
      <c r="AK63" s="492"/>
      <c r="AL63" s="492"/>
      <c r="AM63" s="492"/>
      <c r="AN63" s="30"/>
      <c r="AO63" s="30"/>
      <c r="AP63" s="30"/>
      <c r="AQ63" s="30"/>
      <c r="AR63" s="30"/>
      <c r="AS63" s="30"/>
      <c r="AT63" s="30"/>
      <c r="AU63" s="30"/>
      <c r="AV63" s="30"/>
      <c r="AW63" s="30"/>
      <c r="AX63" s="30"/>
      <c r="AY63" s="30"/>
      <c r="AZ63" s="30"/>
      <c r="BA63" s="30"/>
      <c r="BB63" s="30"/>
      <c r="BC63" s="30"/>
      <c r="BD63" s="30"/>
      <c r="BE63" s="30"/>
      <c r="BF63" s="30"/>
      <c r="BG63" s="30"/>
      <c r="BH63" s="30"/>
      <c r="BI63" s="30"/>
      <c r="BJ63" s="493" t="s">
        <v>262</v>
      </c>
      <c r="BK63" s="23"/>
    </row>
    <row r="64" spans="1:63" s="1117" customFormat="1" ht="12.75" customHeight="1" thickBot="1">
      <c r="A64" s="58"/>
      <c r="B64" s="790"/>
      <c r="C64" s="814" t="s">
        <v>4</v>
      </c>
      <c r="D64" s="512" t="str">
        <f>Translations!$B$622</f>
        <v>VD:</v>
      </c>
      <c r="E64" s="513"/>
      <c r="F64" s="402"/>
      <c r="G64" s="1532" t="str">
        <f>IF(OR(ISBLANK(F64),F64=EUconst_NoTier),"",IF(X64=0,EUconst_NA,IF(ISERROR(X64),"",X64)))</f>
        <v/>
      </c>
      <c r="H64" s="1533"/>
      <c r="I64" s="1619" t="str">
        <f>EUconst_t</f>
        <v>t</v>
      </c>
      <c r="J64" s="1620"/>
      <c r="K64" s="1630"/>
      <c r="L64" s="1631"/>
      <c r="M64" s="709" t="str">
        <f>IF(AND(E59&lt;&gt;"",OR(F64="",K64=""),W64&lt;&gt;EUconst_NA),EUconst_ERR_Incomplete,IF(COUNTIF(AI64:AL64,TRUE)&gt;0,EUconst_ERR_Inconsistent,""))</f>
        <v/>
      </c>
      <c r="N64" s="142"/>
      <c r="O64" s="733"/>
      <c r="P64" s="644"/>
      <c r="Q64" s="30"/>
      <c r="R64" s="514" t="str">
        <f>EUconst_CNTR_ActivityData&amp;E59</f>
        <v>ActivityData_</v>
      </c>
      <c r="S64" s="497"/>
      <c r="T64" s="514" t="str">
        <f>IF(E58="","",INDEX(B_InstallationDescription!$I$71:$I$145,MATCH(S58,B_InstallationDescription!$D$71:$D$145,0)))</f>
        <v/>
      </c>
      <c r="U64" s="30"/>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0"/>
      <c r="AE64" s="518">
        <f>IF(W64=EUconst_NA,1,IF(COUNT(K64:L64)=0,0,IF(L64="",K64,L64)))</f>
        <v>0</v>
      </c>
      <c r="AF64" s="510" t="s">
        <v>311</v>
      </c>
      <c r="AG64" s="510"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4" t="b">
        <f>OR(CNTR_PFCRelevant=EUconst_NotRelevant,AND(COUNTA(CNTR_ListRelevantSections)&gt;0,E58=""))</f>
        <v>1</v>
      </c>
      <c r="BK64" s="23"/>
    </row>
    <row r="65" spans="1:63" s="1117" customFormat="1" ht="5.0999999999999996" customHeight="1" thickBot="1">
      <c r="A65" s="58"/>
      <c r="B65" s="790"/>
      <c r="C65" s="814"/>
      <c r="D65" s="306"/>
      <c r="E65" s="142"/>
      <c r="F65" s="143"/>
      <c r="G65" s="143"/>
      <c r="H65" s="143" t="s">
        <v>236</v>
      </c>
      <c r="I65" s="525"/>
      <c r="J65" s="525"/>
      <c r="K65" s="143"/>
      <c r="L65" s="143"/>
      <c r="M65" s="710"/>
      <c r="N65" s="142"/>
      <c r="O65" s="733"/>
      <c r="P65" s="33"/>
      <c r="Q65" s="30"/>
      <c r="R65" s="155"/>
      <c r="S65" s="497"/>
      <c r="T65" s="30"/>
      <c r="U65" s="30"/>
      <c r="V65" s="497"/>
      <c r="W65" s="526"/>
      <c r="X65" s="30"/>
      <c r="Y65" s="30"/>
      <c r="Z65" s="30"/>
      <c r="AA65" s="30"/>
      <c r="AB65" s="342"/>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3"/>
      <c r="BK65" s="23"/>
    </row>
    <row r="66" spans="1:63" s="1117" customFormat="1" ht="12.75" customHeight="1" thickBot="1">
      <c r="A66" s="58"/>
      <c r="B66" s="790"/>
      <c r="C66" s="814" t="s">
        <v>5</v>
      </c>
      <c r="D66" s="512" t="str">
        <f>Translations!$B$722</f>
        <v>A. Dažnis</v>
      </c>
      <c r="E66" s="513"/>
      <c r="F66" s="527"/>
      <c r="G66" s="1532" t="str">
        <f t="shared" ref="G66:G72" si="2">IF(OR(ISBLANK(F66),F66=EUconst_NoTier),"",IF(X66=0,EUconst_NotApplicable,IF(ISERROR(X66),"",X66)))</f>
        <v/>
      </c>
      <c r="H66" s="1556"/>
      <c r="I66" s="1624" t="str">
        <f>IF(W66=EUconst_NA,"",INDEX(PFCUnits,1))</f>
        <v>1/(vienoje elektrolizės vonioje per parą)</v>
      </c>
      <c r="J66" s="1625"/>
      <c r="K66" s="678" t="str">
        <f t="shared" ref="K66:K72" si="3">IF(L66="",AD66,"")</f>
        <v/>
      </c>
      <c r="L66" s="694"/>
      <c r="M66" s="709" t="str">
        <f>IF(AND(E59&lt;&gt;"",OR(F66="",L66=""),W66&lt;&gt;EUconst_NA),EUconst_ERR_Incomplete,IF(COUNTIF(AI66:AL66,TRUE)&gt;0,EUconst_ERR_Inconsistent,""))</f>
        <v/>
      </c>
      <c r="N66" s="495"/>
      <c r="O66" s="733"/>
      <c r="P66" s="33"/>
      <c r="Q66" s="30"/>
      <c r="R66" s="530" t="str">
        <f>R64</f>
        <v>ActivityData_</v>
      </c>
      <c r="S66" s="497"/>
      <c r="T66" s="657" t="str">
        <f>T64</f>
        <v/>
      </c>
      <c r="U66" s="30"/>
      <c r="V66" s="497">
        <v>1</v>
      </c>
      <c r="W66" s="672" t="str">
        <f>IF(E59="","",IF(U59&lt;&gt;V66,EUconst_NA,INDEX(EUwideConstants!$N:$N,MATCH(R66,EUwideConstants!$Q:$Q,0))))</f>
        <v/>
      </c>
      <c r="X66" s="533" t="str">
        <f>IF(ISBLANK(F66),"",IF(F66=EUconst_NA,"",INDEX(EUwideConstants!$H:$M,MATCH(R66,EUwideConstants!$Q:$Q,0),MATCH(F66,CNTR_TierList,0))))</f>
        <v/>
      </c>
      <c r="Y66" s="30"/>
      <c r="Z66" s="30"/>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0"/>
      <c r="AI66" s="30"/>
      <c r="AJ66" s="30"/>
      <c r="AK66" s="534" t="b">
        <f t="shared" ref="AK66:AK72" si="6">AND(L66&lt;&gt;"",W66=EUconst_NA)</f>
        <v>0</v>
      </c>
      <c r="AL66" s="30"/>
      <c r="AM66" s="30"/>
      <c r="AN66" s="30"/>
      <c r="AO66" s="493" t="s">
        <v>390</v>
      </c>
      <c r="AP66" s="493" t="s">
        <v>391</v>
      </c>
      <c r="AQ66" s="30"/>
      <c r="AR66" s="30"/>
      <c r="AS66" s="30"/>
      <c r="AT66" s="30"/>
      <c r="AU66" s="30"/>
      <c r="AV66" s="30"/>
      <c r="AW66" s="30"/>
      <c r="AX66" s="30"/>
      <c r="AY66" s="30"/>
      <c r="AZ66" s="30"/>
      <c r="BA66" s="30"/>
      <c r="BB66" s="30"/>
      <c r="BC66" s="30"/>
      <c r="BD66" s="30"/>
      <c r="BE66" s="30"/>
      <c r="BF66" s="30"/>
      <c r="BG66" s="30"/>
      <c r="BH66" s="30"/>
      <c r="BI66" s="30"/>
      <c r="BJ66" s="534" t="b">
        <f>OR(BJ64,W66=EUconst_NA)</f>
        <v>1</v>
      </c>
      <c r="BK66" s="23"/>
    </row>
    <row r="67" spans="1:63" s="1117" customFormat="1" ht="12.75" customHeight="1" thickBot="1">
      <c r="A67" s="58"/>
      <c r="B67" s="790"/>
      <c r="C67" s="814" t="s">
        <v>196</v>
      </c>
      <c r="D67" s="512" t="str">
        <f>Translations!$B$724</f>
        <v>A. Trukmė</v>
      </c>
      <c r="E67" s="513"/>
      <c r="F67" s="645"/>
      <c r="G67" s="1532" t="str">
        <f>IF(OR(ISBLANK(F67),F67=EUconst_NoTier),"",IF(X67=0,EUconst_NotApplicable,IF(ISERROR(X67),"",X67)))</f>
        <v/>
      </c>
      <c r="H67" s="1556"/>
      <c r="I67" s="1626" t="str">
        <f>IF(W67=EUconst_NA,"",INDEX(PFCUnits,2))</f>
        <v>min.</v>
      </c>
      <c r="J67" s="1627"/>
      <c r="K67" s="679" t="str">
        <f t="shared" si="3"/>
        <v/>
      </c>
      <c r="L67" s="695"/>
      <c r="M67" s="709" t="str">
        <f>IF(AND(E59&lt;&gt;"",OR(F67="",L67=""),W67&lt;&gt;EUconst_NA),EUconst_ERR_Incomplete,IF(COUNTIF(AI67:AL67,TRUE)&gt;0,EUconst_ERR_Inconsistent,""))</f>
        <v/>
      </c>
      <c r="N67" s="495"/>
      <c r="O67" s="733"/>
      <c r="P67" s="33"/>
      <c r="Q67" s="30"/>
      <c r="R67" s="552" t="str">
        <f>R66</f>
        <v>ActivityData_</v>
      </c>
      <c r="S67" s="497"/>
      <c r="T67" s="658" t="str">
        <f t="shared" ref="T67:T72" si="7">T66</f>
        <v/>
      </c>
      <c r="U67" s="30"/>
      <c r="V67" s="497">
        <v>1</v>
      </c>
      <c r="W67" s="671" t="str">
        <f>IF(E59="","",IF(U59&lt;&gt;V67,EUconst_NA,INDEX(EUwideConstants!$N:$N,MATCH(R67,EUwideConstants!$Q:$Q,0))))</f>
        <v/>
      </c>
      <c r="X67" s="555" t="str">
        <f>IF(ISBLANK(F67),"",IF(F67=EUconst_NA,"",INDEX(EUwideConstants!$H:$M,MATCH(R67,EUwideConstants!$Q:$Q,0),MATCH(F67,CNTR_TierList,0))))</f>
        <v/>
      </c>
      <c r="Y67" s="30"/>
      <c r="Z67" s="30"/>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0"/>
      <c r="AI67" s="30"/>
      <c r="AJ67" s="30"/>
      <c r="AK67" s="660" t="b">
        <f t="shared" si="6"/>
        <v>0</v>
      </c>
      <c r="AL67" s="30"/>
      <c r="AM67" s="30"/>
      <c r="AN67" s="547" t="s">
        <v>446</v>
      </c>
      <c r="AO67" s="546" t="str">
        <f>IF(ISNUMBER(U59),AE64*AE66*AE67*AE68/1000,"")</f>
        <v/>
      </c>
      <c r="AP67" s="524"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60" t="b">
        <f>OR(BJ64,W67=EUconst_NA)</f>
        <v>1</v>
      </c>
      <c r="BK67" s="23"/>
    </row>
    <row r="68" spans="1:63" s="1117" customFormat="1" ht="12.75" customHeight="1" thickBot="1">
      <c r="A68" s="58"/>
      <c r="B68" s="790"/>
      <c r="C68" s="814" t="s">
        <v>197</v>
      </c>
      <c r="D68" s="652" t="str">
        <f>Translations!$B$726</f>
        <v>A. NITF(CF4)</v>
      </c>
      <c r="E68" s="653"/>
      <c r="F68" s="548"/>
      <c r="G68" s="1628" t="str">
        <f t="shared" si="2"/>
        <v/>
      </c>
      <c r="H68" s="1629"/>
      <c r="I68" s="1626" t="str">
        <f>IF(W68=EUconst_NA,"",INDEX(PFCUnits,3))</f>
        <v>(kg CF4/t Al)/(min./vienoje elektrolizės vonioje per parą)</v>
      </c>
      <c r="J68" s="1627"/>
      <c r="K68" s="680" t="str">
        <f t="shared" si="3"/>
        <v/>
      </c>
      <c r="L68" s="683"/>
      <c r="M68" s="711" t="str">
        <f>IF(AND(E59&lt;&gt;"",OR(F68="",COUNT(K68:L68)=0),W68&lt;&gt;EUconst_NA),EUconst_ERR_Incomplete,IF(COUNTIF(AI68:AL68,TRUE)&gt;0,EUconst_ERR_Inconsistent,""))</f>
        <v/>
      </c>
      <c r="N68" s="142"/>
      <c r="O68" s="733"/>
      <c r="P68" s="33"/>
      <c r="Q68" s="30"/>
      <c r="R68" s="552" t="str">
        <f>EUconst_CNTR_EF&amp;$E59</f>
        <v>EF_</v>
      </c>
      <c r="S68" s="497"/>
      <c r="T68" s="658" t="str">
        <f t="shared" si="7"/>
        <v/>
      </c>
      <c r="U68" s="30"/>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0"/>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0"/>
      <c r="AI68" s="30"/>
      <c r="AJ68" s="30"/>
      <c r="AK68" s="660" t="b">
        <f t="shared" si="6"/>
        <v>0</v>
      </c>
      <c r="AL68" s="30"/>
      <c r="AM68" s="30"/>
      <c r="AN68" s="547" t="s">
        <v>447</v>
      </c>
      <c r="AO68" s="546">
        <f>IF(AND(ISNUMBER(AO67),AO67&gt;0),AO67*AE72,0)</f>
        <v>0</v>
      </c>
      <c r="AP68" s="524">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60" t="b">
        <f>OR(BJ64,W68=EUconst_NA)</f>
        <v>1</v>
      </c>
      <c r="BK68" s="23"/>
    </row>
    <row r="69" spans="1:63" s="1117" customFormat="1" ht="12.75" customHeight="1" thickBot="1">
      <c r="A69" s="58"/>
      <c r="B69" s="790"/>
      <c r="C69" s="814" t="s">
        <v>198</v>
      </c>
      <c r="D69" s="650" t="str">
        <f>Translations!$B$728</f>
        <v>B. AEV</v>
      </c>
      <c r="E69" s="651"/>
      <c r="F69" s="645"/>
      <c r="G69" s="1622" t="str">
        <f t="shared" si="2"/>
        <v/>
      </c>
      <c r="H69" s="1623"/>
      <c r="I69" s="1626" t="str">
        <f>IF(W69=EUconst_NA,"",INDEX(PFCUnits,4))</f>
        <v>mV</v>
      </c>
      <c r="J69" s="1627"/>
      <c r="K69" s="679" t="str">
        <f t="shared" si="3"/>
        <v/>
      </c>
      <c r="L69" s="695"/>
      <c r="M69" s="712" t="str">
        <f>IF(AND(E59&lt;&gt;"",OR(F69="",L69=""),W69&lt;&gt;EUconst_NA),EUconst_ERR_Incomplete,IF(COUNTIF(AI69:AL69,TRUE)&gt;0,EUconst_ERR_Inconsistent,""))</f>
        <v/>
      </c>
      <c r="N69" s="142"/>
      <c r="O69" s="733"/>
      <c r="P69" s="644"/>
      <c r="Q69" s="30"/>
      <c r="R69" s="552" t="str">
        <f>R64</f>
        <v>ActivityData_</v>
      </c>
      <c r="S69" s="497"/>
      <c r="T69" s="658" t="str">
        <f t="shared" si="7"/>
        <v/>
      </c>
      <c r="U69" s="30"/>
      <c r="V69" s="497">
        <v>2</v>
      </c>
      <c r="W69" s="671" t="str">
        <f>IF(E59="","",IF(U59&lt;&gt;V69,EUconst_NA,INDEX(EUwideConstants!$N:$N,MATCH(R69,EUwideConstants!$Q:$Q,0))))</f>
        <v/>
      </c>
      <c r="X69" s="555" t="str">
        <f>IF(ISBLANK(F69),"",IF(F69=EUconst_NA,"",INDEX(EUwideConstants!$H:$M,MATCH(R69,EUwideConstants!$Q:$Q,0),MATCH(F69,CNTR_TierList,0))))</f>
        <v/>
      </c>
      <c r="Y69" s="30"/>
      <c r="Z69" s="30"/>
      <c r="AA69" s="557" t="b">
        <f>AND(AA64,W69&lt;&gt;EUconst_NA)</f>
        <v>0</v>
      </c>
      <c r="AB69" s="342"/>
      <c r="AC69" s="676"/>
      <c r="AD69" s="676" t="str">
        <f>""</f>
        <v/>
      </c>
      <c r="AE69" s="660">
        <f t="shared" si="4"/>
        <v>0</v>
      </c>
      <c r="AF69" s="660" t="b">
        <f>AND(AA69=TRUE,OR(ISNUMBER(L69),NOT(ISNUMBER(Y69))))</f>
        <v>0</v>
      </c>
      <c r="AG69" s="660" t="b">
        <f t="shared" si="5"/>
        <v>0</v>
      </c>
      <c r="AH69" s="30"/>
      <c r="AI69" s="30"/>
      <c r="AJ69" s="30"/>
      <c r="AK69" s="660" t="b">
        <f t="shared" si="6"/>
        <v>0</v>
      </c>
      <c r="AL69" s="30"/>
      <c r="AM69" s="30"/>
      <c r="AN69" s="547" t="s">
        <v>446</v>
      </c>
      <c r="AO69" s="546" t="str">
        <f>IF(ISNUMBER(AO67),AO67*AE77,"")</f>
        <v/>
      </c>
      <c r="AP69" s="524" t="str">
        <f>IF(ISNUMBER(AP67),AP67*AE77,"")</f>
        <v/>
      </c>
      <c r="AQ69" s="30"/>
      <c r="AR69" s="30"/>
      <c r="AS69" s="30"/>
      <c r="AT69" s="30"/>
      <c r="AU69" s="30"/>
      <c r="AV69" s="30"/>
      <c r="AW69" s="30"/>
      <c r="AX69" s="30"/>
      <c r="AY69" s="30"/>
      <c r="AZ69" s="30"/>
      <c r="BA69" s="30"/>
      <c r="BB69" s="30"/>
      <c r="BC69" s="30"/>
      <c r="BD69" s="30"/>
      <c r="BE69" s="30"/>
      <c r="BF69" s="30"/>
      <c r="BG69" s="30"/>
      <c r="BH69" s="30"/>
      <c r="BI69" s="30"/>
      <c r="BJ69" s="660" t="b">
        <f>OR(BJ64,W69=EUconst_NA)</f>
        <v>1</v>
      </c>
      <c r="BK69" s="23"/>
    </row>
    <row r="70" spans="1:63" s="1117" customFormat="1" ht="12.75" customHeight="1" thickBot="1">
      <c r="A70" s="58"/>
      <c r="B70" s="790"/>
      <c r="C70" s="777" t="s">
        <v>199</v>
      </c>
      <c r="D70" s="512" t="str">
        <f>Translations!$B$730</f>
        <v>B. EN</v>
      </c>
      <c r="E70" s="513"/>
      <c r="F70" s="548"/>
      <c r="G70" s="1532" t="str">
        <f t="shared" si="2"/>
        <v/>
      </c>
      <c r="H70" s="1533"/>
      <c r="I70" s="1626" t="str">
        <f>IF(W70=EUconst_NA,"","-")</f>
        <v>-</v>
      </c>
      <c r="J70" s="1627"/>
      <c r="K70" s="681" t="str">
        <f t="shared" si="3"/>
        <v/>
      </c>
      <c r="L70" s="571"/>
      <c r="M70" s="709" t="str">
        <f>IF(AND(E59&lt;&gt;"",OR(F70="",L70=""),W70&lt;&gt;EUconst_NA),EUconst_ERR_Incomplete,IF(COUNTIF(AI70:AL70,TRUE)&gt;0,EUconst_ERR_Inconsistent,""))</f>
        <v/>
      </c>
      <c r="N70" s="142"/>
      <c r="O70" s="733"/>
      <c r="P70" s="644"/>
      <c r="Q70" s="30"/>
      <c r="R70" s="552" t="str">
        <f>R69</f>
        <v>ActivityData_</v>
      </c>
      <c r="S70" s="497"/>
      <c r="T70" s="658" t="str">
        <f t="shared" si="7"/>
        <v/>
      </c>
      <c r="U70" s="30"/>
      <c r="V70" s="497">
        <v>2</v>
      </c>
      <c r="W70" s="671" t="str">
        <f>IF(E59="","",IF(U59&lt;&gt;V70,EUconst_NA,INDEX(EUwideConstants!$N:$N,MATCH(R70,EUwideConstants!$Q:$Q,0))))</f>
        <v/>
      </c>
      <c r="X70" s="555" t="str">
        <f>IF(ISBLANK(F70),"",IF(F70=EUconst_NA,"",INDEX(EUwideConstants!$H:$M,MATCH(R70,EUwideConstants!$Q:$Q,0),MATCH(F70,CNTR_TierList,0))))</f>
        <v/>
      </c>
      <c r="Y70" s="30"/>
      <c r="Z70" s="30"/>
      <c r="AA70" s="557" t="b">
        <f>AND(AA64,W70&lt;&gt;EUconst_NA)</f>
        <v>0</v>
      </c>
      <c r="AB70" s="342"/>
      <c r="AC70" s="676"/>
      <c r="AD70" s="676" t="str">
        <f>""</f>
        <v/>
      </c>
      <c r="AE70" s="660">
        <f t="shared" si="4"/>
        <v>0</v>
      </c>
      <c r="AF70" s="660" t="b">
        <f>AND(AA70=TRUE,OR(ISNUMBER(L70),NOT(ISNUMBER(Y70))))</f>
        <v>0</v>
      </c>
      <c r="AG70" s="660" t="b">
        <f t="shared" si="5"/>
        <v>0</v>
      </c>
      <c r="AH70" s="30"/>
      <c r="AI70" s="30"/>
      <c r="AJ70" s="30"/>
      <c r="AK70" s="708" t="b">
        <f t="shared" si="6"/>
        <v>0</v>
      </c>
      <c r="AL70" s="524" t="b">
        <f>L70&gt;100%</f>
        <v>0</v>
      </c>
      <c r="AM70" s="30"/>
      <c r="AN70" s="547" t="s">
        <v>447</v>
      </c>
      <c r="AO70" s="546">
        <f>IF(ISNUMBER(AO68),AO68*AE78,"")</f>
        <v>0</v>
      </c>
      <c r="AP70" s="524">
        <f>IF(ISNUMBER(AP68),AP68*AE78,"")</f>
        <v>0</v>
      </c>
      <c r="AQ70" s="30"/>
      <c r="AR70" s="30"/>
      <c r="AS70" s="30"/>
      <c r="AT70" s="30"/>
      <c r="AU70" s="30"/>
      <c r="AV70" s="30"/>
      <c r="AW70" s="30"/>
      <c r="AX70" s="30"/>
      <c r="AY70" s="30"/>
      <c r="AZ70" s="30"/>
      <c r="BA70" s="30"/>
      <c r="BB70" s="30"/>
      <c r="BC70" s="30"/>
      <c r="BD70" s="30"/>
      <c r="BE70" s="30"/>
      <c r="BF70" s="30"/>
      <c r="BG70" s="30"/>
      <c r="BH70" s="30"/>
      <c r="BI70" s="30"/>
      <c r="BJ70" s="660" t="b">
        <f>OR(BJ64,W70=EUconst_NA)</f>
        <v>1</v>
      </c>
      <c r="BK70" s="23"/>
    </row>
    <row r="71" spans="1:63" s="1117" customFormat="1" ht="12.75" customHeight="1" thickBot="1">
      <c r="A71" s="58"/>
      <c r="B71" s="790"/>
      <c r="C71" s="814" t="s">
        <v>200</v>
      </c>
      <c r="D71" s="652" t="str">
        <f>Translations!$B$732</f>
        <v>B. VĮK</v>
      </c>
      <c r="E71" s="653"/>
      <c r="F71" s="548"/>
      <c r="G71" s="1628" t="str">
        <f t="shared" si="2"/>
        <v/>
      </c>
      <c r="H71" s="1629"/>
      <c r="I71" s="1626" t="str">
        <f>IF(W71=EUconst_NA,"",INDEX(PFCUnits,6))</f>
        <v>(kg CF4)/(t Al mV)</v>
      </c>
      <c r="J71" s="1627"/>
      <c r="K71" s="681" t="str">
        <f t="shared" si="3"/>
        <v/>
      </c>
      <c r="L71" s="684"/>
      <c r="M71" s="711" t="str">
        <f>IF(AND(E59&lt;&gt;"",OR(F71="",COUNT(K71:L71)=0),W71&lt;&gt;EUconst_NA),EUconst_ERR_Incomplete,IF(COUNTIF(AI71:AL71,TRUE)&gt;0,EUconst_ERR_Inconsistent,""))</f>
        <v/>
      </c>
      <c r="N71" s="142"/>
      <c r="O71" s="733"/>
      <c r="P71" s="33"/>
      <c r="Q71" s="30"/>
      <c r="R71" s="552" t="str">
        <f>EUconst_CNTR_EF&amp;E59</f>
        <v>EF_</v>
      </c>
      <c r="S71" s="497"/>
      <c r="T71" s="658" t="str">
        <f t="shared" si="7"/>
        <v/>
      </c>
      <c r="U71" s="30"/>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0"/>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0"/>
      <c r="AI71" s="30"/>
      <c r="AJ71" s="30"/>
      <c r="AK71" s="660"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60" t="b">
        <f>OR(BJ64,W71=EUconst_NA)</f>
        <v>1</v>
      </c>
      <c r="BK71" s="23"/>
    </row>
    <row r="72" spans="1:63" s="1117" customFormat="1" ht="12.75" customHeight="1" thickBot="1">
      <c r="A72" s="58"/>
      <c r="B72" s="790"/>
      <c r="C72" s="814" t="s">
        <v>329</v>
      </c>
      <c r="D72" s="650" t="str">
        <f>Translations!$B$734</f>
        <v>F(C2F6)</v>
      </c>
      <c r="E72" s="651"/>
      <c r="F72" s="597"/>
      <c r="G72" s="1622" t="str">
        <f t="shared" si="2"/>
        <v/>
      </c>
      <c r="H72" s="1623"/>
      <c r="I72" s="1617" t="str">
        <f>IF(W72=EUconst_NA,"",INDEX(PFCUnits,7))</f>
        <v>t C2F6/t CF4</v>
      </c>
      <c r="J72" s="1618"/>
      <c r="K72" s="682" t="str">
        <f t="shared" si="3"/>
        <v/>
      </c>
      <c r="L72" s="685"/>
      <c r="M72" s="712" t="str">
        <f>IF(AND(E59&lt;&gt;"",OR(F72="",COUNT(K72:L72)=0),W72&lt;&gt;EUconst_NA),EUconst_ERR_Incomplete,IF(COUNTIF(AI72:AL72,TRUE)&gt;0,EUconst_ERR_Inconsistent,""))</f>
        <v/>
      </c>
      <c r="N72" s="142"/>
      <c r="O72" s="733"/>
      <c r="P72" s="33"/>
      <c r="Q72" s="30"/>
      <c r="R72" s="599" t="str">
        <f>EUconst_CNTR_EF&amp;E59</f>
        <v>EF_</v>
      </c>
      <c r="S72" s="497"/>
      <c r="T72" s="659" t="str">
        <f t="shared" si="7"/>
        <v/>
      </c>
      <c r="U72" s="30"/>
      <c r="V72" s="497" t="str">
        <f>""</f>
        <v/>
      </c>
      <c r="W72" s="673" t="str">
        <f>W64</f>
        <v/>
      </c>
      <c r="X72" s="601" t="str">
        <f>IF(ISBLANK(F72),"",IF(F72=EUconst_NA,"",INDEX(EUwideConstants!$H:$M,MATCH(R72,EUwideConstants!$Q:$Q,0),MATCH(F72,CNTR_TierList,0))))</f>
        <v/>
      </c>
      <c r="Y72" s="589" t="str">
        <f>IF(COUNTIF(EUconst_DefaultValues,X72)&gt;0,MATCH(X72,EUconst_DefaultValues,0),"")</f>
        <v/>
      </c>
      <c r="Z72" s="30"/>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0"/>
      <c r="AI72" s="30"/>
      <c r="AJ72" s="30"/>
      <c r="AK72" s="582"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2" t="b">
        <f>OR(BJ64,W72=EUconst_NA)</f>
        <v>1</v>
      </c>
      <c r="BK72" s="23"/>
    </row>
    <row r="73" spans="1:63" s="1117" customFormat="1" ht="5.0999999999999996" customHeight="1" thickBot="1">
      <c r="A73" s="58"/>
      <c r="B73" s="790"/>
      <c r="C73" s="166"/>
      <c r="D73" s="180"/>
      <c r="E73" s="142"/>
      <c r="F73" s="142"/>
      <c r="G73" s="142"/>
      <c r="H73" s="142"/>
      <c r="I73" s="142"/>
      <c r="J73" s="142"/>
      <c r="K73" s="142"/>
      <c r="L73" s="142"/>
      <c r="M73" s="704"/>
      <c r="N73" s="142"/>
      <c r="O73" s="733"/>
      <c r="P73" s="33"/>
      <c r="Q73" s="174"/>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7" customFormat="1" ht="12.75" customHeight="1">
      <c r="A74" s="58"/>
      <c r="B74" s="790"/>
      <c r="C74" s="777" t="s">
        <v>330</v>
      </c>
      <c r="D74" s="646" t="str">
        <f>Translations!$B$748</f>
        <v>Išmestas CF4 kiekis</v>
      </c>
      <c r="E74" s="647"/>
      <c r="F74" s="513"/>
      <c r="G74" s="513"/>
      <c r="H74" s="513"/>
      <c r="I74" s="1624" t="str">
        <f>EUconst_t</f>
        <v>t</v>
      </c>
      <c r="J74" s="1625"/>
      <c r="K74" s="513"/>
      <c r="L74" s="955" t="str">
        <f>IF(ISNUMBER(U59),INDEX(AO67:AP67,U59),"")</f>
        <v/>
      </c>
      <c r="M74" s="704"/>
      <c r="N74" s="142"/>
      <c r="O74" s="733"/>
      <c r="P74" s="33"/>
      <c r="Q74" s="174"/>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7" customFormat="1" ht="12.75" customHeight="1" thickBot="1">
      <c r="A75" s="58"/>
      <c r="B75" s="790"/>
      <c r="C75" s="777" t="s">
        <v>454</v>
      </c>
      <c r="D75" s="646" t="str">
        <f>Translations!$B$749</f>
        <v>Išmestas C2F6 kiekis</v>
      </c>
      <c r="E75" s="513"/>
      <c r="F75" s="513"/>
      <c r="G75" s="513"/>
      <c r="H75" s="513"/>
      <c r="I75" s="1617" t="str">
        <f>EUconst_t</f>
        <v>t</v>
      </c>
      <c r="J75" s="1618"/>
      <c r="K75" s="513"/>
      <c r="L75" s="956" t="str">
        <f>IF(ISNUMBER(U59),INDEX(AO68:AP68,U59),"")</f>
        <v/>
      </c>
      <c r="M75" s="704"/>
      <c r="N75" s="142"/>
      <c r="O75" s="733"/>
      <c r="P75" s="33"/>
      <c r="Q75" s="174"/>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7" customFormat="1" ht="5.0999999999999996" customHeight="1" thickBot="1">
      <c r="A76" s="58"/>
      <c r="B76" s="790"/>
      <c r="C76" s="779"/>
      <c r="D76" s="180"/>
      <c r="E76" s="142"/>
      <c r="F76" s="142"/>
      <c r="G76" s="142"/>
      <c r="H76" s="142"/>
      <c r="I76" s="142"/>
      <c r="J76" s="142"/>
      <c r="K76" s="142"/>
      <c r="L76" s="142"/>
      <c r="M76" s="704"/>
      <c r="N76" s="142"/>
      <c r="O76" s="733"/>
      <c r="P76" s="33"/>
      <c r="Q76" s="174"/>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7" customFormat="1" ht="12.75" customHeight="1">
      <c r="A77" s="58"/>
      <c r="B77" s="790"/>
      <c r="C77" s="777" t="s">
        <v>455</v>
      </c>
      <c r="D77" s="646" t="str">
        <f>Translations!$B$736</f>
        <v>VAP(CF4)</v>
      </c>
      <c r="E77" s="647"/>
      <c r="F77" s="513"/>
      <c r="G77" s="513"/>
      <c r="H77" s="513"/>
      <c r="I77" s="1624" t="s">
        <v>444</v>
      </c>
      <c r="J77" s="1625"/>
      <c r="K77" s="648">
        <f>IF(L77="",7390,"")</f>
        <v>7390</v>
      </c>
      <c r="L77" s="968"/>
      <c r="M77" s="704"/>
      <c r="N77" s="142"/>
      <c r="O77" s="733"/>
      <c r="P77" s="644"/>
      <c r="Q77" s="174"/>
      <c r="R77" s="30"/>
      <c r="S77" s="30"/>
      <c r="T77" s="30"/>
      <c r="U77" s="30"/>
      <c r="V77" s="30"/>
      <c r="W77" s="30"/>
      <c r="X77" s="30"/>
      <c r="Y77" s="30"/>
      <c r="Z77" s="30"/>
      <c r="AA77" s="30"/>
      <c r="AB77" s="30"/>
      <c r="AC77" s="30"/>
      <c r="AD77" s="30"/>
      <c r="AE77" s="535">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1" t="b">
        <f>BJ64</f>
        <v>1</v>
      </c>
      <c r="BK77" s="23"/>
    </row>
    <row r="78" spans="1:63" s="1117" customFormat="1" ht="12.75" customHeight="1" thickBot="1">
      <c r="A78" s="58"/>
      <c r="B78" s="790"/>
      <c r="C78" s="777" t="s">
        <v>456</v>
      </c>
      <c r="D78" s="646" t="str">
        <f>Translations!$B$738</f>
        <v>VAP(C2F6)</v>
      </c>
      <c r="E78" s="647"/>
      <c r="F78" s="513"/>
      <c r="G78" s="513"/>
      <c r="H78" s="513"/>
      <c r="I78" s="1617" t="s">
        <v>445</v>
      </c>
      <c r="J78" s="1618"/>
      <c r="K78" s="649">
        <f>IF(L78="",12200,"")</f>
        <v>12200</v>
      </c>
      <c r="L78" s="969"/>
      <c r="M78" s="704"/>
      <c r="N78" s="142"/>
      <c r="O78" s="733"/>
      <c r="P78" s="33"/>
      <c r="Q78" s="174"/>
      <c r="R78" s="30"/>
      <c r="S78" s="30"/>
      <c r="T78" s="30"/>
      <c r="U78" s="30"/>
      <c r="V78" s="30"/>
      <c r="W78" s="30"/>
      <c r="X78" s="30"/>
      <c r="Y78" s="30"/>
      <c r="Z78" s="30"/>
      <c r="AA78" s="30"/>
      <c r="AB78" s="30"/>
      <c r="AC78" s="30"/>
      <c r="AD78" s="30"/>
      <c r="AE78" s="674">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80" t="b">
        <f>BJ77</f>
        <v>1</v>
      </c>
      <c r="BK78" s="23"/>
    </row>
    <row r="79" spans="1:63" s="1117" customFormat="1" ht="5.0999999999999996" customHeight="1" thickBot="1">
      <c r="A79" s="58"/>
      <c r="B79" s="790"/>
      <c r="C79" s="779"/>
      <c r="D79" s="306"/>
      <c r="E79" s="495"/>
      <c r="F79" s="142"/>
      <c r="G79" s="142"/>
      <c r="H79" s="142"/>
      <c r="I79" s="142"/>
      <c r="J79" s="142"/>
      <c r="K79" s="142"/>
      <c r="L79" s="704"/>
      <c r="M79" s="704"/>
      <c r="N79" s="142"/>
      <c r="O79" s="733"/>
      <c r="P79" s="33"/>
      <c r="Q79" s="174"/>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7" customFormat="1" ht="12.75" customHeight="1">
      <c r="A80" s="58"/>
      <c r="B80" s="790"/>
      <c r="C80" s="777" t="s">
        <v>457</v>
      </c>
      <c r="D80" s="646" t="str">
        <f>Translations!$B$748</f>
        <v>Išmestas CF4 kiekis</v>
      </c>
      <c r="E80" s="647"/>
      <c r="F80" s="513"/>
      <c r="G80" s="513"/>
      <c r="H80" s="513"/>
      <c r="I80" s="1624" t="s">
        <v>260</v>
      </c>
      <c r="J80" s="1625"/>
      <c r="K80" s="513"/>
      <c r="L80" s="705" t="str">
        <f>IF(ISNUMBER(U59),INDEX(AO69:AP69,U59),"")</f>
        <v/>
      </c>
      <c r="M80" s="704"/>
      <c r="N80" s="142"/>
      <c r="O80" s="733"/>
      <c r="P80" s="644"/>
      <c r="Q80" s="174"/>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7" customFormat="1" ht="12.75" customHeight="1" thickBot="1">
      <c r="A81" s="58"/>
      <c r="B81" s="790"/>
      <c r="C81" s="777" t="s">
        <v>458</v>
      </c>
      <c r="D81" s="646" t="str">
        <f>Translations!$B$749</f>
        <v>Išmestas C2F6 kiekis</v>
      </c>
      <c r="E81" s="513"/>
      <c r="F81" s="513"/>
      <c r="G81" s="513"/>
      <c r="H81" s="513"/>
      <c r="I81" s="1617" t="s">
        <v>260</v>
      </c>
      <c r="J81" s="1618"/>
      <c r="K81" s="513"/>
      <c r="L81" s="706" t="str">
        <f>IF(ISNUMBER(U59),INDEX(AO70:AP70,U59),"")</f>
        <v/>
      </c>
      <c r="M81" s="704"/>
      <c r="N81" s="142"/>
      <c r="O81" s="733"/>
      <c r="P81" s="33"/>
      <c r="Q81" s="174"/>
      <c r="R81" s="30"/>
      <c r="S81" s="30"/>
      <c r="T81" s="30"/>
      <c r="U81" s="30"/>
      <c r="V81" s="30"/>
      <c r="W81" s="30"/>
      <c r="X81" s="30"/>
      <c r="Y81" s="30"/>
      <c r="Z81" s="30"/>
      <c r="AA81" s="30"/>
      <c r="AB81" s="30"/>
      <c r="AC81" s="30"/>
      <c r="AD81" s="30"/>
      <c r="AE81" s="492"/>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7" customFormat="1" ht="5.0999999999999996" customHeight="1" thickBot="1">
      <c r="A82" s="58"/>
      <c r="B82" s="790"/>
      <c r="C82" s="779"/>
      <c r="D82" s="180"/>
      <c r="E82" s="142"/>
      <c r="F82" s="142"/>
      <c r="G82" s="142"/>
      <c r="H82" s="142"/>
      <c r="I82" s="142"/>
      <c r="J82" s="142"/>
      <c r="K82" s="142"/>
      <c r="L82" s="142"/>
      <c r="M82" s="704"/>
      <c r="N82" s="142"/>
      <c r="O82" s="733"/>
      <c r="P82" s="33"/>
      <c r="Q82" s="174"/>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7" customFormat="1" ht="12.75" customHeight="1" thickBot="1">
      <c r="A83" s="58"/>
      <c r="B83" s="790"/>
      <c r="C83" s="777" t="s">
        <v>459</v>
      </c>
      <c r="D83" s="646" t="str">
        <f>Translations!$B$167</f>
        <v>Surinkimo efektyvumas</v>
      </c>
      <c r="E83" s="513"/>
      <c r="F83" s="513"/>
      <c r="G83" s="513"/>
      <c r="H83" s="513"/>
      <c r="I83" s="1619" t="s">
        <v>261</v>
      </c>
      <c r="J83" s="1620"/>
      <c r="K83" s="513"/>
      <c r="L83" s="970"/>
      <c r="M83" s="709" t="str">
        <f>IF(AND(E59&lt;&gt;"",L83=""),EUconst_ERR_Incomplete,IF(COUNTIF(AI83:AL83,TRUE)&gt;0,EUconst_ERR_Inconsistent,""))</f>
        <v/>
      </c>
      <c r="N83" s="142"/>
      <c r="O83" s="733"/>
      <c r="P83" s="644"/>
      <c r="Q83" s="174"/>
      <c r="R83" s="30"/>
      <c r="S83" s="30"/>
      <c r="T83" s="30"/>
      <c r="U83" s="30"/>
      <c r="V83" s="30"/>
      <c r="W83" s="30"/>
      <c r="X83" s="30"/>
      <c r="Y83" s="30"/>
      <c r="Z83" s="30"/>
      <c r="AA83" s="30"/>
      <c r="AB83" s="30"/>
      <c r="AC83" s="30"/>
      <c r="AD83" s="30"/>
      <c r="AE83" s="30"/>
      <c r="AF83" s="30"/>
      <c r="AG83" s="30"/>
      <c r="AH83" s="30"/>
      <c r="AI83" s="30"/>
      <c r="AJ83" s="30"/>
      <c r="AK83" s="30"/>
      <c r="AL83" s="524"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4" t="b">
        <f>BJ64</f>
        <v>1</v>
      </c>
      <c r="BK83" s="23"/>
    </row>
    <row r="84" spans="1:63" s="1117" customFormat="1" ht="5.0999999999999996" customHeight="1" thickBot="1">
      <c r="A84" s="58"/>
      <c r="B84" s="790"/>
      <c r="C84" s="166"/>
      <c r="D84" s="180"/>
      <c r="E84" s="142"/>
      <c r="F84" s="142"/>
      <c r="G84" s="142"/>
      <c r="H84" s="142"/>
      <c r="I84" s="142"/>
      <c r="J84" s="142"/>
      <c r="K84" s="142"/>
      <c r="L84" s="142"/>
      <c r="M84" s="142"/>
      <c r="N84" s="142"/>
      <c r="O84" s="733"/>
      <c r="P84" s="33"/>
      <c r="Q84" s="174"/>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7" customFormat="1" ht="12.75" customHeight="1" thickBot="1">
      <c r="A85" s="58"/>
      <c r="B85" s="790"/>
      <c r="C85" s="166"/>
      <c r="D85" s="1558" t="str">
        <f>Translations!$B$674</f>
        <v>Pakopos galioja nuo:</v>
      </c>
      <c r="E85" s="1558"/>
      <c r="F85" s="1559"/>
      <c r="G85" s="616"/>
      <c r="H85" s="615" t="str">
        <f>Translations!$B$675</f>
        <v>iki:</v>
      </c>
      <c r="I85" s="616"/>
      <c r="J85" s="142"/>
      <c r="K85" s="142"/>
      <c r="L85" s="142"/>
      <c r="M85" s="142"/>
      <c r="N85" s="142"/>
      <c r="O85" s="733"/>
      <c r="P85" s="33"/>
      <c r="Q85" s="174"/>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4" t="b">
        <f>BJ64</f>
        <v>1</v>
      </c>
      <c r="BK85" s="23"/>
    </row>
    <row r="86" spans="1:63" s="1117" customFormat="1" ht="5.0999999999999996" customHeight="1" thickBot="1">
      <c r="A86" s="30"/>
      <c r="B86" s="572"/>
      <c r="C86" s="142"/>
      <c r="D86" s="180"/>
      <c r="E86" s="142"/>
      <c r="F86" s="142"/>
      <c r="G86" s="142"/>
      <c r="H86" s="142"/>
      <c r="I86" s="142"/>
      <c r="J86" s="142"/>
      <c r="K86" s="142"/>
      <c r="L86" s="142"/>
      <c r="M86" s="142"/>
      <c r="N86" s="142"/>
      <c r="O86" s="573"/>
      <c r="P86" s="497"/>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7" customFormat="1" ht="12.75" customHeight="1" thickBot="1">
      <c r="A87" s="30"/>
      <c r="B87" s="572"/>
      <c r="C87" s="142"/>
      <c r="D87" s="1534" t="str">
        <f>Translations!$B$160</f>
        <v>Pastabos:</v>
      </c>
      <c r="E87" s="1535"/>
      <c r="F87" s="1621"/>
      <c r="G87" s="1621"/>
      <c r="H87" s="1621"/>
      <c r="I87" s="1621"/>
      <c r="J87" s="1621"/>
      <c r="K87" s="1621"/>
      <c r="L87" s="1621"/>
      <c r="M87" s="1621"/>
      <c r="N87" s="1621"/>
      <c r="O87" s="573"/>
      <c r="P87" s="497"/>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4" t="b">
        <f>BJ85</f>
        <v>1</v>
      </c>
      <c r="BK87" s="23"/>
    </row>
    <row r="88" spans="1:63" s="1114" customFormat="1" ht="12.75" customHeight="1" thickBot="1">
      <c r="A88" s="58"/>
      <c r="B88" s="838"/>
      <c r="C88" s="499"/>
      <c r="D88" s="500"/>
      <c r="E88" s="501"/>
      <c r="F88" s="499"/>
      <c r="G88" s="502"/>
      <c r="H88" s="502"/>
      <c r="I88" s="502"/>
      <c r="J88" s="502"/>
      <c r="K88" s="502"/>
      <c r="L88" s="502"/>
      <c r="M88" s="502"/>
      <c r="N88" s="502"/>
      <c r="O88" s="740"/>
      <c r="P88" s="494"/>
      <c r="Q88" s="58"/>
      <c r="R88" s="58"/>
      <c r="S88" s="498"/>
      <c r="T88" s="58"/>
      <c r="U88" s="58"/>
      <c r="V88" s="49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4" customFormat="1" ht="3.75" customHeight="1">
      <c r="A89" s="491"/>
      <c r="B89" s="838"/>
      <c r="C89" s="495"/>
      <c r="D89" s="180"/>
      <c r="E89" s="496"/>
      <c r="F89" s="495"/>
      <c r="G89" s="487"/>
      <c r="H89" s="487"/>
      <c r="I89" s="487"/>
      <c r="J89" s="487"/>
      <c r="K89" s="495"/>
      <c r="L89" s="487"/>
      <c r="M89" s="487"/>
      <c r="N89" s="487"/>
      <c r="O89" s="740"/>
      <c r="P89" s="494"/>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7" customFormat="1" ht="15" hidden="1" customHeight="1" thickBot="1">
      <c r="A90" s="58"/>
      <c r="B90" s="790"/>
      <c r="C90" s="617">
        <f>C58+1</f>
        <v>2</v>
      </c>
      <c r="D90" s="343"/>
      <c r="E90" s="1542"/>
      <c r="F90" s="1543"/>
      <c r="G90" s="1543"/>
      <c r="H90" s="1543"/>
      <c r="I90" s="1543"/>
      <c r="J90" s="1544"/>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7" t="str">
        <f>IF(ISBLANK(E90),"",MATCH(E90,CNTR_SourceStreamNames,0))</f>
        <v/>
      </c>
      <c r="S90" s="618" t="str">
        <f>IF(ISBLANK(E90),"",INDEX(B_InstallationDescription!$D$71:$D$145,MATCH(E90,CNTR_SourceStreamNames,0)))</f>
        <v/>
      </c>
      <c r="T90" s="509" t="s">
        <v>393</v>
      </c>
      <c r="U90" s="686" t="s">
        <v>67</v>
      </c>
      <c r="V90" s="58"/>
      <c r="W90" s="58"/>
      <c r="X90" s="58"/>
      <c r="Y90" s="58"/>
      <c r="Z90" s="58"/>
      <c r="AA90" s="58"/>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3"/>
    </row>
    <row r="91" spans="1:63" s="1117" customFormat="1" ht="15" hidden="1" customHeight="1" thickBot="1">
      <c r="A91" s="58"/>
      <c r="B91" s="790"/>
      <c r="C91" s="166"/>
      <c r="D91" s="166"/>
      <c r="E91" s="1547" t="str">
        <f>IF(E90="","",IF(INDEX(B_InstallationDescription!$E$71:$E$145,MATCH(S90,B_InstallationDescription!$D$71:$D$145,0))&gt;0,INDEX(B_InstallationDescription!$E$71:$E$145,MATCH(S90,B_InstallationDescription!$D$71:$D$145,0)),""))</f>
        <v/>
      </c>
      <c r="F91" s="1548"/>
      <c r="G91" s="1548"/>
      <c r="H91" s="1548"/>
      <c r="I91" s="1548"/>
      <c r="J91" s="1549"/>
      <c r="K91" s="142"/>
      <c r="L91" s="142"/>
      <c r="M91" s="143"/>
      <c r="N91" s="143"/>
      <c r="O91" s="733"/>
      <c r="P91" s="494"/>
      <c r="Q91" s="30"/>
      <c r="R91" s="27" t="s">
        <v>93</v>
      </c>
      <c r="S91" s="30"/>
      <c r="T91" s="578" t="b">
        <v>1</v>
      </c>
      <c r="U91" s="518" t="str">
        <f>IF(E91="","",INDEX(CNTR_PFCMethod,MATCH(E90,CNTR_PFCSourceStreamNames,0)))</f>
        <v/>
      </c>
      <c r="V91" s="30"/>
      <c r="W91" s="494"/>
      <c r="X91" s="30"/>
      <c r="Y91" s="30"/>
      <c r="Z91" s="30"/>
      <c r="AA91" s="30"/>
      <c r="AB91" s="342"/>
      <c r="AC91" s="27" t="s">
        <v>308</v>
      </c>
      <c r="AD91" s="30"/>
      <c r="AE91" s="30"/>
      <c r="AF91" s="30"/>
      <c r="AG91" s="30"/>
      <c r="AH91" s="30"/>
      <c r="AI91" s="27" t="s">
        <v>315</v>
      </c>
      <c r="AJ91" s="30"/>
      <c r="AK91" s="30"/>
      <c r="AL91" s="30"/>
      <c r="AM91" s="30"/>
      <c r="AN91" s="27" t="s">
        <v>219</v>
      </c>
      <c r="AO91" s="30"/>
      <c r="AP91" s="30"/>
      <c r="AQ91" s="30"/>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0"/>
      <c r="BJ91" s="30"/>
      <c r="BK91" s="23"/>
    </row>
    <row r="92" spans="1:63" s="1117" customFormat="1" ht="4.5" hidden="1" customHeight="1">
      <c r="A92" s="58"/>
      <c r="B92" s="790"/>
      <c r="C92" s="166"/>
      <c r="D92" s="166"/>
      <c r="E92" s="166"/>
      <c r="F92" s="166"/>
      <c r="G92" s="166"/>
      <c r="H92" s="142"/>
      <c r="I92" s="142"/>
      <c r="J92" s="142"/>
      <c r="K92" s="142"/>
      <c r="L92" s="142"/>
      <c r="M92" s="143"/>
      <c r="N92" s="143"/>
      <c r="O92" s="733"/>
      <c r="P92" s="33"/>
      <c r="Q92" s="30"/>
      <c r="R92" s="489"/>
      <c r="S92" s="30"/>
      <c r="T92" s="30"/>
      <c r="U92" s="30"/>
      <c r="V92" s="30"/>
      <c r="W92" s="494"/>
      <c r="X92" s="30"/>
      <c r="Y92" s="30"/>
      <c r="Z92" s="30"/>
      <c r="AA92" s="30"/>
      <c r="AB92" s="342"/>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7" customFormat="1" ht="12.75" hidden="1" customHeight="1">
      <c r="A93" s="58"/>
      <c r="B93" s="790"/>
      <c r="C93" s="166"/>
      <c r="D93" s="166"/>
      <c r="E93" s="1550" t="str">
        <f>IF(E90="","",HYPERLINK("#JUMP_14",EUconst_FurtherGuidancePoint1))</f>
        <v/>
      </c>
      <c r="F93" s="1550"/>
      <c r="G93" s="1550"/>
      <c r="H93" s="1550"/>
      <c r="I93" s="1550"/>
      <c r="J93" s="1550"/>
      <c r="K93" s="1550"/>
      <c r="L93" s="1550"/>
      <c r="M93" s="143"/>
      <c r="N93" s="143"/>
      <c r="O93" s="733"/>
      <c r="P93" s="33"/>
      <c r="Q93" s="30"/>
      <c r="R93" s="489"/>
      <c r="S93" s="30"/>
      <c r="T93" s="30"/>
      <c r="U93" s="30"/>
      <c r="V93" s="30"/>
      <c r="W93" s="494"/>
      <c r="X93" s="30"/>
      <c r="Y93" s="30"/>
      <c r="Z93" s="30"/>
      <c r="AA93" s="30"/>
      <c r="AB93" s="342"/>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7" customFormat="1" ht="4.5" hidden="1" customHeight="1">
      <c r="A94" s="58"/>
      <c r="B94" s="790"/>
      <c r="C94" s="166"/>
      <c r="D94" s="166"/>
      <c r="E94" s="166"/>
      <c r="F94" s="166"/>
      <c r="G94" s="166"/>
      <c r="H94" s="142"/>
      <c r="I94" s="142"/>
      <c r="J94" s="142"/>
      <c r="K94" s="142"/>
      <c r="L94" s="142"/>
      <c r="M94" s="143"/>
      <c r="N94" s="143"/>
      <c r="O94" s="733"/>
      <c r="P94" s="33"/>
      <c r="Q94" s="30"/>
      <c r="R94" s="489"/>
      <c r="S94" s="30"/>
      <c r="T94" s="30"/>
      <c r="U94" s="30"/>
      <c r="V94" s="30"/>
      <c r="W94" s="494"/>
      <c r="X94" s="30"/>
      <c r="Y94" s="30"/>
      <c r="Z94" s="30"/>
      <c r="AA94" s="30"/>
      <c r="AB94" s="342"/>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7" customFormat="1" ht="12.75" hidden="1" customHeight="1" thickBot="1">
      <c r="A95" s="58"/>
      <c r="B95" s="790"/>
      <c r="C95" s="166"/>
      <c r="D95" s="166"/>
      <c r="E95" s="166"/>
      <c r="F95" s="506" t="str">
        <f>Translations!$B$333</f>
        <v>Pakopa</v>
      </c>
      <c r="G95" s="1557" t="str">
        <f>Translations!$B$672</f>
        <v>pakopos aprašas</v>
      </c>
      <c r="H95" s="1557"/>
      <c r="I95" s="1555" t="str">
        <f>Translations!$B$158</f>
        <v>Vienetas</v>
      </c>
      <c r="J95" s="1555"/>
      <c r="K95" s="1555" t="str">
        <f>Translations!$B$673</f>
        <v>Vertė</v>
      </c>
      <c r="L95" s="1555"/>
      <c r="M95" s="507" t="str">
        <f>Translations!$B$610</f>
        <v>klaida</v>
      </c>
      <c r="N95" s="142"/>
      <c r="O95" s="733"/>
      <c r="P95" s="508"/>
      <c r="Q95" s="30"/>
      <c r="R95" s="489"/>
      <c r="S95" s="30"/>
      <c r="T95" s="509" t="s">
        <v>303</v>
      </c>
      <c r="U95" s="30"/>
      <c r="V95" s="30"/>
      <c r="W95" s="494" t="s">
        <v>566</v>
      </c>
      <c r="X95" s="494" t="s">
        <v>318</v>
      </c>
      <c r="Y95" s="30"/>
      <c r="Z95" s="30"/>
      <c r="AA95" s="505" t="s">
        <v>309</v>
      </c>
      <c r="AB95" s="342"/>
      <c r="AC95" s="492" t="s">
        <v>306</v>
      </c>
      <c r="AD95" s="504" t="s">
        <v>569</v>
      </c>
      <c r="AE95" s="504" t="s">
        <v>568</v>
      </c>
      <c r="AF95" s="510"/>
      <c r="AG95" s="510"/>
      <c r="AH95" s="30"/>
      <c r="AI95" s="492"/>
      <c r="AJ95" s="492"/>
      <c r="AK95" s="492"/>
      <c r="AL95" s="492"/>
      <c r="AM95" s="492"/>
      <c r="AN95" s="30"/>
      <c r="AO95" s="30"/>
      <c r="AP95" s="30"/>
      <c r="AQ95" s="30"/>
      <c r="AR95" s="30"/>
      <c r="AS95" s="30"/>
      <c r="AT95" s="30"/>
      <c r="AU95" s="30"/>
      <c r="AV95" s="30"/>
      <c r="AW95" s="30"/>
      <c r="AX95" s="30"/>
      <c r="AY95" s="30"/>
      <c r="AZ95" s="30"/>
      <c r="BA95" s="30"/>
      <c r="BB95" s="30"/>
      <c r="BC95" s="30"/>
      <c r="BD95" s="30"/>
      <c r="BE95" s="30"/>
      <c r="BF95" s="30"/>
      <c r="BG95" s="30"/>
      <c r="BH95" s="30"/>
      <c r="BI95" s="30"/>
      <c r="BJ95" s="493" t="s">
        <v>262</v>
      </c>
      <c r="BK95" s="23"/>
    </row>
    <row r="96" spans="1:63" s="1117" customFormat="1" ht="12.75" hidden="1" customHeight="1" thickBot="1">
      <c r="A96" s="58"/>
      <c r="B96" s="790"/>
      <c r="C96" s="814" t="s">
        <v>4</v>
      </c>
      <c r="D96" s="512" t="str">
        <f>Translations!$B$622</f>
        <v>VD:</v>
      </c>
      <c r="E96" s="513"/>
      <c r="F96" s="402"/>
      <c r="G96" s="1532" t="str">
        <f>IF(OR(ISBLANK(F96),F96=EUconst_NoTier),"",IF(X96=0,EUconst_NA,IF(ISERROR(X96),"",X96)))</f>
        <v/>
      </c>
      <c r="H96" s="1533"/>
      <c r="I96" s="1619" t="str">
        <f>EUconst_t</f>
        <v>t</v>
      </c>
      <c r="J96" s="1620"/>
      <c r="K96" s="1630"/>
      <c r="L96" s="1631"/>
      <c r="M96" s="709" t="str">
        <f>IF(AND(E91&lt;&gt;"",OR(F96="",K96=""),W96&lt;&gt;EUconst_NA),EUconst_ERR_Incomplete,IF(COUNTIF(AI96:AL96,TRUE)&gt;0,EUconst_ERR_Inconsistent,""))</f>
        <v/>
      </c>
      <c r="N96" s="142"/>
      <c r="O96" s="733"/>
      <c r="P96" s="644"/>
      <c r="Q96" s="30"/>
      <c r="R96" s="514" t="str">
        <f>EUconst_CNTR_ActivityData&amp;E91</f>
        <v>ActivityData_</v>
      </c>
      <c r="S96" s="497"/>
      <c r="T96" s="514" t="str">
        <f>IF(E90="","",INDEX(B_InstallationDescription!$I$71:$I$145,MATCH(S90,B_InstallationDescription!$D$71:$D$145,0)))</f>
        <v/>
      </c>
      <c r="U96" s="30"/>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0"/>
      <c r="AE96" s="518">
        <f>IF(W96=EUconst_NA,1,IF(COUNT(K96:L96)=0,0,IF(L96="",K96,L96)))</f>
        <v>0</v>
      </c>
      <c r="AF96" s="510" t="s">
        <v>311</v>
      </c>
      <c r="AG96" s="510"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4" t="b">
        <f>OR(CNTR_PFCRelevant=EUconst_NotRelevant,AND(COUNTA(CNTR_ListRelevantSections)&gt;0,E90=""))</f>
        <v>1</v>
      </c>
      <c r="BK96" s="23"/>
    </row>
    <row r="97" spans="1:63" s="1117" customFormat="1" ht="5.0999999999999996" hidden="1" customHeight="1">
      <c r="A97" s="58"/>
      <c r="B97" s="790"/>
      <c r="C97" s="814"/>
      <c r="D97" s="306"/>
      <c r="E97" s="142"/>
      <c r="F97" s="143"/>
      <c r="G97" s="143"/>
      <c r="H97" s="143" t="s">
        <v>236</v>
      </c>
      <c r="I97" s="525"/>
      <c r="J97" s="525"/>
      <c r="K97" s="143"/>
      <c r="L97" s="143"/>
      <c r="M97" s="710"/>
      <c r="N97" s="142"/>
      <c r="O97" s="733"/>
      <c r="P97" s="33"/>
      <c r="Q97" s="30"/>
      <c r="R97" s="155"/>
      <c r="S97" s="497"/>
      <c r="T97" s="30"/>
      <c r="U97" s="30"/>
      <c r="V97" s="497"/>
      <c r="W97" s="526"/>
      <c r="X97" s="30"/>
      <c r="Y97" s="30"/>
      <c r="Z97" s="30"/>
      <c r="AA97" s="30"/>
      <c r="AB97" s="342"/>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3"/>
      <c r="BK97" s="23"/>
    </row>
    <row r="98" spans="1:63" s="1117" customFormat="1" ht="12.75" hidden="1" customHeight="1">
      <c r="A98" s="58"/>
      <c r="B98" s="790"/>
      <c r="C98" s="814" t="s">
        <v>5</v>
      </c>
      <c r="D98" s="512" t="str">
        <f>Translations!$B$722</f>
        <v>A. Dažnis</v>
      </c>
      <c r="E98" s="513"/>
      <c r="F98" s="527"/>
      <c r="G98" s="1532" t="str">
        <f t="shared" ref="G98:G104" si="8">IF(OR(ISBLANK(F98),F98=EUconst_NoTier),"",IF(X98=0,EUconst_NotApplicable,IF(ISERROR(X98),"",X98)))</f>
        <v/>
      </c>
      <c r="H98" s="1556"/>
      <c r="I98" s="1624" t="str">
        <f>IF(W98=EUconst_NA,"",INDEX(PFCUnits,1))</f>
        <v>1/(vienoje elektrolizės vonioje per parą)</v>
      </c>
      <c r="J98" s="1625"/>
      <c r="K98" s="678" t="str">
        <f t="shared" ref="K98:K104" si="9">IF(L98="",AD98,"")</f>
        <v/>
      </c>
      <c r="L98" s="694"/>
      <c r="M98" s="709" t="str">
        <f>IF(AND(E91&lt;&gt;"",OR(F98="",L98=""),W98&lt;&gt;EUconst_NA),EUconst_ERR_Incomplete,IF(COUNTIF(AI98:AL98,TRUE)&gt;0,EUconst_ERR_Inconsistent,""))</f>
        <v/>
      </c>
      <c r="N98" s="495"/>
      <c r="O98" s="733"/>
      <c r="P98" s="33"/>
      <c r="Q98" s="30"/>
      <c r="R98" s="530" t="str">
        <f>R96</f>
        <v>ActivityData_</v>
      </c>
      <c r="S98" s="497"/>
      <c r="T98" s="657" t="str">
        <f>T96</f>
        <v/>
      </c>
      <c r="U98" s="30"/>
      <c r="V98" s="497">
        <v>1</v>
      </c>
      <c r="W98" s="672" t="str">
        <f>IF(E91="","",IF(U91&lt;&gt;V98,EUconst_NA,INDEX(EUwideConstants!$N:$N,MATCH(R98,EUwideConstants!$Q:$Q,0))))</f>
        <v/>
      </c>
      <c r="X98" s="533" t="str">
        <f>IF(ISBLANK(F98),"",IF(F98=EUconst_NA,"",INDEX(EUwideConstants!$H:$M,MATCH(R98,EUwideConstants!$Q:$Q,0),MATCH(F98,CNTR_TierList,0))))</f>
        <v/>
      </c>
      <c r="Y98" s="30"/>
      <c r="Z98" s="30"/>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0"/>
      <c r="AI98" s="30"/>
      <c r="AJ98" s="30"/>
      <c r="AK98" s="534" t="b">
        <f t="shared" ref="AK98:AK104" si="12">AND(L98&lt;&gt;"",W98=EUconst_NA)</f>
        <v>0</v>
      </c>
      <c r="AL98" s="30"/>
      <c r="AM98" s="30"/>
      <c r="AN98" s="30"/>
      <c r="AO98" s="493" t="s">
        <v>390</v>
      </c>
      <c r="AP98" s="493" t="s">
        <v>391</v>
      </c>
      <c r="AQ98" s="30"/>
      <c r="AR98" s="30"/>
      <c r="AS98" s="30"/>
      <c r="AT98" s="30"/>
      <c r="AU98" s="30"/>
      <c r="AV98" s="30"/>
      <c r="AW98" s="30"/>
      <c r="AX98" s="30"/>
      <c r="AY98" s="30"/>
      <c r="AZ98" s="30"/>
      <c r="BA98" s="30"/>
      <c r="BB98" s="30"/>
      <c r="BC98" s="30"/>
      <c r="BD98" s="30"/>
      <c r="BE98" s="30"/>
      <c r="BF98" s="30"/>
      <c r="BG98" s="30"/>
      <c r="BH98" s="30"/>
      <c r="BI98" s="30"/>
      <c r="BJ98" s="534" t="b">
        <f>OR(BJ96,W98=EUconst_NA)</f>
        <v>1</v>
      </c>
      <c r="BK98" s="23"/>
    </row>
    <row r="99" spans="1:63" s="1117" customFormat="1" ht="12.75" hidden="1" customHeight="1" thickBot="1">
      <c r="A99" s="58"/>
      <c r="B99" s="790"/>
      <c r="C99" s="814" t="s">
        <v>196</v>
      </c>
      <c r="D99" s="512" t="str">
        <f>Translations!$B$724</f>
        <v>A. Trukmė</v>
      </c>
      <c r="E99" s="513"/>
      <c r="F99" s="645"/>
      <c r="G99" s="1532" t="str">
        <f t="shared" si="8"/>
        <v/>
      </c>
      <c r="H99" s="1556"/>
      <c r="I99" s="1626" t="str">
        <f>IF(W99=EUconst_NA,"",INDEX(PFCUnits,2))</f>
        <v>min.</v>
      </c>
      <c r="J99" s="1627"/>
      <c r="K99" s="679" t="str">
        <f t="shared" si="9"/>
        <v/>
      </c>
      <c r="L99" s="695"/>
      <c r="M99" s="709" t="str">
        <f>IF(AND(E91&lt;&gt;"",OR(F99="",L99=""),W99&lt;&gt;EUconst_NA),EUconst_ERR_Incomplete,IF(COUNTIF(AI99:AL99,TRUE)&gt;0,EUconst_ERR_Inconsistent,""))</f>
        <v/>
      </c>
      <c r="N99" s="495"/>
      <c r="O99" s="733"/>
      <c r="P99" s="33"/>
      <c r="Q99" s="30"/>
      <c r="R99" s="552" t="str">
        <f>R98</f>
        <v>ActivityData_</v>
      </c>
      <c r="S99" s="497"/>
      <c r="T99" s="658" t="str">
        <f t="shared" ref="T99:T104" si="13">T98</f>
        <v/>
      </c>
      <c r="U99" s="30"/>
      <c r="V99" s="497">
        <v>1</v>
      </c>
      <c r="W99" s="671" t="str">
        <f>IF(E91="","",IF(U91&lt;&gt;V99,EUconst_NA,INDEX(EUwideConstants!$N:$N,MATCH(R99,EUwideConstants!$Q:$Q,0))))</f>
        <v/>
      </c>
      <c r="X99" s="555" t="str">
        <f>IF(ISBLANK(F99),"",IF(F99=EUconst_NA,"",INDEX(EUwideConstants!$H:$M,MATCH(R99,EUwideConstants!$Q:$Q,0),MATCH(F99,CNTR_TierList,0))))</f>
        <v/>
      </c>
      <c r="Y99" s="30"/>
      <c r="Z99" s="30"/>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0"/>
      <c r="AI99" s="30"/>
      <c r="AJ99" s="30"/>
      <c r="AK99" s="660" t="b">
        <f t="shared" si="12"/>
        <v>0</v>
      </c>
      <c r="AL99" s="30"/>
      <c r="AM99" s="30"/>
      <c r="AN99" s="547" t="s">
        <v>446</v>
      </c>
      <c r="AO99" s="546" t="str">
        <f>IF(ISNUMBER(U91),AE96*AE98*AE99*AE100/1000,"")</f>
        <v/>
      </c>
      <c r="AP99" s="524"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60" t="b">
        <f>OR(BJ96,W99=EUconst_NA)</f>
        <v>1</v>
      </c>
      <c r="BK99" s="23"/>
    </row>
    <row r="100" spans="1:63" s="1117" customFormat="1" ht="12.75" hidden="1" customHeight="1" thickBot="1">
      <c r="A100" s="58"/>
      <c r="B100" s="790"/>
      <c r="C100" s="814" t="s">
        <v>197</v>
      </c>
      <c r="D100" s="652" t="str">
        <f>Translations!$B$726</f>
        <v>A. NITF(CF4)</v>
      </c>
      <c r="E100" s="653"/>
      <c r="F100" s="548"/>
      <c r="G100" s="1628" t="str">
        <f t="shared" si="8"/>
        <v/>
      </c>
      <c r="H100" s="1629"/>
      <c r="I100" s="1626" t="str">
        <f>IF(W100=EUconst_NA,"",INDEX(PFCUnits,3))</f>
        <v>(kg CF4/t Al)/(min./vienoje elektrolizės vonioje per parą)</v>
      </c>
      <c r="J100" s="1627"/>
      <c r="K100" s="680" t="str">
        <f t="shared" si="9"/>
        <v/>
      </c>
      <c r="L100" s="683"/>
      <c r="M100" s="711" t="str">
        <f>IF(AND(E91&lt;&gt;"",OR(F100="",COUNT(K100:L100)=0),W100&lt;&gt;EUconst_NA),EUconst_ERR_Incomplete,IF(COUNTIF(AI100:AL100,TRUE)&gt;0,EUconst_ERR_Inconsistent,""))</f>
        <v/>
      </c>
      <c r="N100" s="142"/>
      <c r="O100" s="733"/>
      <c r="P100" s="33"/>
      <c r="Q100" s="30"/>
      <c r="R100" s="552" t="str">
        <f>EUconst_CNTR_EF&amp;$E91</f>
        <v>EF_</v>
      </c>
      <c r="S100" s="497"/>
      <c r="T100" s="658" t="str">
        <f t="shared" si="13"/>
        <v/>
      </c>
      <c r="U100" s="30"/>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0"/>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0"/>
      <c r="AI100" s="30"/>
      <c r="AJ100" s="30"/>
      <c r="AK100" s="660" t="b">
        <f t="shared" si="12"/>
        <v>0</v>
      </c>
      <c r="AL100" s="30"/>
      <c r="AM100" s="30"/>
      <c r="AN100" s="547" t="s">
        <v>447</v>
      </c>
      <c r="AO100" s="546">
        <f>IF(AND(ISNUMBER(AO99),AO99&gt;0),AO99*AE104,0)</f>
        <v>0</v>
      </c>
      <c r="AP100" s="524">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60" t="b">
        <f>OR(BJ96,W100=EUconst_NA)</f>
        <v>1</v>
      </c>
      <c r="BK100" s="23"/>
    </row>
    <row r="101" spans="1:63" s="1117" customFormat="1" ht="12.75" hidden="1" customHeight="1" thickBot="1">
      <c r="A101" s="58"/>
      <c r="B101" s="790"/>
      <c r="C101" s="814" t="s">
        <v>198</v>
      </c>
      <c r="D101" s="650" t="str">
        <f>Translations!$B$728</f>
        <v>B. AEV</v>
      </c>
      <c r="E101" s="651"/>
      <c r="F101" s="645"/>
      <c r="G101" s="1622" t="str">
        <f t="shared" si="8"/>
        <v/>
      </c>
      <c r="H101" s="1623"/>
      <c r="I101" s="1626" t="str">
        <f>IF(W101=EUconst_NA,"",INDEX(PFCUnits,4))</f>
        <v>mV</v>
      </c>
      <c r="J101" s="1627"/>
      <c r="K101" s="679" t="str">
        <f t="shared" si="9"/>
        <v/>
      </c>
      <c r="L101" s="695"/>
      <c r="M101" s="712" t="str">
        <f>IF(AND(E91&lt;&gt;"",OR(F101="",L101=""),W101&lt;&gt;EUconst_NA),EUconst_ERR_Incomplete,IF(COUNTIF(AI101:AL101,TRUE)&gt;0,EUconst_ERR_Inconsistent,""))</f>
        <v/>
      </c>
      <c r="N101" s="142"/>
      <c r="O101" s="733"/>
      <c r="P101" s="644"/>
      <c r="Q101" s="30"/>
      <c r="R101" s="552" t="str">
        <f>R96</f>
        <v>ActivityData_</v>
      </c>
      <c r="S101" s="497"/>
      <c r="T101" s="658" t="str">
        <f t="shared" si="13"/>
        <v/>
      </c>
      <c r="U101" s="30"/>
      <c r="V101" s="497">
        <v>2</v>
      </c>
      <c r="W101" s="671" t="str">
        <f>IF(E91="","",IF(U91&lt;&gt;V101,EUconst_NA,INDEX(EUwideConstants!$N:$N,MATCH(R101,EUwideConstants!$Q:$Q,0))))</f>
        <v/>
      </c>
      <c r="X101" s="555" t="str">
        <f>IF(ISBLANK(F101),"",IF(F101=EUconst_NA,"",INDEX(EUwideConstants!$H:$M,MATCH(R101,EUwideConstants!$Q:$Q,0),MATCH(F101,CNTR_TierList,0))))</f>
        <v/>
      </c>
      <c r="Y101" s="30"/>
      <c r="Z101" s="30"/>
      <c r="AA101" s="557" t="b">
        <f>AND(AA96,W101&lt;&gt;EUconst_NA)</f>
        <v>0</v>
      </c>
      <c r="AB101" s="342"/>
      <c r="AC101" s="676"/>
      <c r="AD101" s="676" t="str">
        <f>""</f>
        <v/>
      </c>
      <c r="AE101" s="660">
        <f t="shared" si="10"/>
        <v>0</v>
      </c>
      <c r="AF101" s="660" t="b">
        <f>AND(AA101=TRUE,OR(ISNUMBER(L101),NOT(ISNUMBER(Y101))))</f>
        <v>0</v>
      </c>
      <c r="AG101" s="660" t="b">
        <f t="shared" si="11"/>
        <v>0</v>
      </c>
      <c r="AH101" s="30"/>
      <c r="AI101" s="30"/>
      <c r="AJ101" s="30"/>
      <c r="AK101" s="660" t="b">
        <f t="shared" si="12"/>
        <v>0</v>
      </c>
      <c r="AL101" s="30"/>
      <c r="AM101" s="30"/>
      <c r="AN101" s="547" t="s">
        <v>446</v>
      </c>
      <c r="AO101" s="546" t="str">
        <f>IF(ISNUMBER(AO99),AO99*AE109,"")</f>
        <v/>
      </c>
      <c r="AP101" s="524"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60" t="b">
        <f>OR(BJ96,W101=EUconst_NA)</f>
        <v>1</v>
      </c>
      <c r="BK101" s="23"/>
    </row>
    <row r="102" spans="1:63" s="1117" customFormat="1" ht="12.75" hidden="1" customHeight="1" thickBot="1">
      <c r="A102" s="58"/>
      <c r="B102" s="790"/>
      <c r="C102" s="777" t="s">
        <v>199</v>
      </c>
      <c r="D102" s="512" t="str">
        <f>Translations!$B$730</f>
        <v>B. EN</v>
      </c>
      <c r="E102" s="513"/>
      <c r="F102" s="548"/>
      <c r="G102" s="1532" t="str">
        <f t="shared" si="8"/>
        <v/>
      </c>
      <c r="H102" s="1533"/>
      <c r="I102" s="1626" t="str">
        <f>IF(W102=EUconst_NA,"","-")</f>
        <v>-</v>
      </c>
      <c r="J102" s="1627"/>
      <c r="K102" s="681" t="str">
        <f t="shared" si="9"/>
        <v/>
      </c>
      <c r="L102" s="571"/>
      <c r="M102" s="709" t="str">
        <f>IF(AND(E91&lt;&gt;"",OR(F102="",L102=""),W102&lt;&gt;EUconst_NA),EUconst_ERR_Incomplete,IF(COUNTIF(AI102:AL102,TRUE)&gt;0,EUconst_ERR_Inconsistent,""))</f>
        <v/>
      </c>
      <c r="N102" s="142"/>
      <c r="O102" s="733"/>
      <c r="P102" s="644"/>
      <c r="Q102" s="30"/>
      <c r="R102" s="552" t="str">
        <f>R101</f>
        <v>ActivityData_</v>
      </c>
      <c r="S102" s="497"/>
      <c r="T102" s="658" t="str">
        <f t="shared" si="13"/>
        <v/>
      </c>
      <c r="U102" s="30"/>
      <c r="V102" s="497">
        <v>2</v>
      </c>
      <c r="W102" s="671" t="str">
        <f>IF(E91="","",IF(U91&lt;&gt;V102,EUconst_NA,INDEX(EUwideConstants!$N:$N,MATCH(R102,EUwideConstants!$Q:$Q,0))))</f>
        <v/>
      </c>
      <c r="X102" s="555" t="str">
        <f>IF(ISBLANK(F102),"",IF(F102=EUconst_NA,"",INDEX(EUwideConstants!$H:$M,MATCH(R102,EUwideConstants!$Q:$Q,0),MATCH(F102,CNTR_TierList,0))))</f>
        <v/>
      </c>
      <c r="Y102" s="30"/>
      <c r="Z102" s="30"/>
      <c r="AA102" s="557" t="b">
        <f>AND(AA96,W102&lt;&gt;EUconst_NA)</f>
        <v>0</v>
      </c>
      <c r="AB102" s="342"/>
      <c r="AC102" s="676"/>
      <c r="AD102" s="676" t="str">
        <f>""</f>
        <v/>
      </c>
      <c r="AE102" s="660">
        <f t="shared" si="10"/>
        <v>0</v>
      </c>
      <c r="AF102" s="660" t="b">
        <f>AND(AA102=TRUE,OR(ISNUMBER(L102),NOT(ISNUMBER(Y102))))</f>
        <v>0</v>
      </c>
      <c r="AG102" s="660" t="b">
        <f t="shared" si="11"/>
        <v>0</v>
      </c>
      <c r="AH102" s="30"/>
      <c r="AI102" s="30"/>
      <c r="AJ102" s="30"/>
      <c r="AK102" s="708" t="b">
        <f t="shared" si="12"/>
        <v>0</v>
      </c>
      <c r="AL102" s="524" t="b">
        <f>L102&gt;100%</f>
        <v>0</v>
      </c>
      <c r="AM102" s="30"/>
      <c r="AN102" s="547" t="s">
        <v>447</v>
      </c>
      <c r="AO102" s="546">
        <f>IF(ISNUMBER(AO100),AO100*AE110,"")</f>
        <v>0</v>
      </c>
      <c r="AP102" s="524">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60" t="b">
        <f>OR(BJ96,W102=EUconst_NA)</f>
        <v>1</v>
      </c>
      <c r="BK102" s="23"/>
    </row>
    <row r="103" spans="1:63" s="1117" customFormat="1" ht="12.75" hidden="1" customHeight="1" thickBot="1">
      <c r="A103" s="58"/>
      <c r="B103" s="790"/>
      <c r="C103" s="814" t="s">
        <v>200</v>
      </c>
      <c r="D103" s="652" t="str">
        <f>Translations!$B$732</f>
        <v>B. VĮK</v>
      </c>
      <c r="E103" s="653"/>
      <c r="F103" s="548"/>
      <c r="G103" s="1628" t="str">
        <f t="shared" si="8"/>
        <v/>
      </c>
      <c r="H103" s="1629"/>
      <c r="I103" s="1626" t="str">
        <f>IF(W103=EUconst_NA,"",INDEX(PFCUnits,6))</f>
        <v>(kg CF4)/(t Al mV)</v>
      </c>
      <c r="J103" s="1627"/>
      <c r="K103" s="681" t="str">
        <f t="shared" si="9"/>
        <v/>
      </c>
      <c r="L103" s="684"/>
      <c r="M103" s="711" t="str">
        <f>IF(AND(E91&lt;&gt;"",OR(F103="",COUNT(K103:L103)=0),W103&lt;&gt;EUconst_NA),EUconst_ERR_Incomplete,IF(COUNTIF(AI103:AL103,TRUE)&gt;0,EUconst_ERR_Inconsistent,""))</f>
        <v/>
      </c>
      <c r="N103" s="142"/>
      <c r="O103" s="733"/>
      <c r="P103" s="33"/>
      <c r="Q103" s="30"/>
      <c r="R103" s="552" t="str">
        <f>EUconst_CNTR_EF&amp;E91</f>
        <v>EF_</v>
      </c>
      <c r="S103" s="497"/>
      <c r="T103" s="658" t="str">
        <f t="shared" si="13"/>
        <v/>
      </c>
      <c r="U103" s="30"/>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0"/>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0"/>
      <c r="AI103" s="30"/>
      <c r="AJ103" s="30"/>
      <c r="AK103" s="660"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60" t="b">
        <f>OR(BJ96,W103=EUconst_NA)</f>
        <v>1</v>
      </c>
      <c r="BK103" s="23"/>
    </row>
    <row r="104" spans="1:63" s="1117" customFormat="1" ht="12.75" hidden="1" customHeight="1" thickBot="1">
      <c r="A104" s="58"/>
      <c r="B104" s="790"/>
      <c r="C104" s="814" t="s">
        <v>329</v>
      </c>
      <c r="D104" s="650" t="str">
        <f>Translations!$B$734</f>
        <v>F(C2F6)</v>
      </c>
      <c r="E104" s="651"/>
      <c r="F104" s="597"/>
      <c r="G104" s="1622" t="str">
        <f t="shared" si="8"/>
        <v/>
      </c>
      <c r="H104" s="1623"/>
      <c r="I104" s="1617" t="str">
        <f>IF(W104=EUconst_NA,"",INDEX(PFCUnits,7))</f>
        <v>t C2F6/t CF4</v>
      </c>
      <c r="J104" s="1618"/>
      <c r="K104" s="682" t="str">
        <f t="shared" si="9"/>
        <v/>
      </c>
      <c r="L104" s="685"/>
      <c r="M104" s="712" t="str">
        <f>IF(AND(E91&lt;&gt;"",OR(F104="",COUNT(K104:L104)=0),W104&lt;&gt;EUconst_NA),EUconst_ERR_Incomplete,IF(COUNTIF(AI104:AL104,TRUE)&gt;0,EUconst_ERR_Inconsistent,""))</f>
        <v/>
      </c>
      <c r="N104" s="142"/>
      <c r="O104" s="733"/>
      <c r="P104" s="33"/>
      <c r="Q104" s="30"/>
      <c r="R104" s="599" t="str">
        <f>EUconst_CNTR_EF&amp;E91</f>
        <v>EF_</v>
      </c>
      <c r="S104" s="497"/>
      <c r="T104" s="659" t="str">
        <f t="shared" si="13"/>
        <v/>
      </c>
      <c r="U104" s="30"/>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0"/>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0"/>
      <c r="AI104" s="30"/>
      <c r="AJ104" s="30"/>
      <c r="AK104" s="582"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2" t="b">
        <f>OR(BJ96,W104=EUconst_NA)</f>
        <v>1</v>
      </c>
      <c r="BK104" s="23"/>
    </row>
    <row r="105" spans="1:63" s="1117" customFormat="1" ht="4.5" hidden="1" customHeight="1">
      <c r="A105" s="58"/>
      <c r="B105" s="790"/>
      <c r="C105" s="166"/>
      <c r="D105" s="180"/>
      <c r="E105" s="142"/>
      <c r="F105" s="142"/>
      <c r="G105" s="142"/>
      <c r="H105" s="142"/>
      <c r="I105" s="142"/>
      <c r="J105" s="142"/>
      <c r="K105" s="142"/>
      <c r="L105" s="142"/>
      <c r="M105" s="704"/>
      <c r="N105" s="142"/>
      <c r="O105" s="733"/>
      <c r="P105" s="33"/>
      <c r="Q105" s="174"/>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7" customFormat="1" ht="12.75" hidden="1" customHeight="1">
      <c r="A106" s="58"/>
      <c r="B106" s="790"/>
      <c r="C106" s="777" t="s">
        <v>330</v>
      </c>
      <c r="D106" s="646" t="str">
        <f>Translations!$B$748</f>
        <v>Išmestas CF4 kiekis</v>
      </c>
      <c r="E106" s="647"/>
      <c r="F106" s="513"/>
      <c r="G106" s="513"/>
      <c r="H106" s="513"/>
      <c r="I106" s="1624" t="str">
        <f>EUconst_t</f>
        <v>t</v>
      </c>
      <c r="J106" s="1625"/>
      <c r="K106" s="513"/>
      <c r="L106" s="955" t="str">
        <f>IF(ISNUMBER(U91),INDEX(AO99:AP99,U91),"")</f>
        <v/>
      </c>
      <c r="M106" s="704"/>
      <c r="N106" s="142"/>
      <c r="O106" s="733"/>
      <c r="P106" s="33"/>
      <c r="Q106" s="174"/>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7" customFormat="1" ht="12.75" hidden="1" customHeight="1" thickBot="1">
      <c r="A107" s="58"/>
      <c r="B107" s="790"/>
      <c r="C107" s="777" t="s">
        <v>454</v>
      </c>
      <c r="D107" s="646" t="str">
        <f>Translations!$B$749</f>
        <v>Išmestas C2F6 kiekis</v>
      </c>
      <c r="E107" s="513"/>
      <c r="F107" s="513"/>
      <c r="G107" s="513"/>
      <c r="H107" s="513"/>
      <c r="I107" s="1617" t="str">
        <f>EUconst_t</f>
        <v>t</v>
      </c>
      <c r="J107" s="1618"/>
      <c r="K107" s="513"/>
      <c r="L107" s="956" t="str">
        <f>IF(ISNUMBER(U91),INDEX(AO100:AP100,U91),"")</f>
        <v/>
      </c>
      <c r="M107" s="704"/>
      <c r="N107" s="142"/>
      <c r="O107" s="733"/>
      <c r="P107" s="33"/>
      <c r="Q107" s="174"/>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7" customFormat="1" ht="5.0999999999999996" hidden="1" customHeight="1">
      <c r="A108" s="58"/>
      <c r="B108" s="790"/>
      <c r="C108" s="779"/>
      <c r="D108" s="180"/>
      <c r="E108" s="142"/>
      <c r="F108" s="142"/>
      <c r="G108" s="142"/>
      <c r="H108" s="142"/>
      <c r="I108" s="142"/>
      <c r="J108" s="142"/>
      <c r="K108" s="142"/>
      <c r="L108" s="142"/>
      <c r="M108" s="704"/>
      <c r="N108" s="142"/>
      <c r="O108" s="733"/>
      <c r="P108" s="33"/>
      <c r="Q108" s="174"/>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7" customFormat="1" ht="12.75" hidden="1" customHeight="1">
      <c r="A109" s="58"/>
      <c r="B109" s="790"/>
      <c r="C109" s="777" t="s">
        <v>455</v>
      </c>
      <c r="D109" s="646" t="str">
        <f>Translations!$B$736</f>
        <v>VAP(CF4)</v>
      </c>
      <c r="E109" s="647"/>
      <c r="F109" s="513"/>
      <c r="G109" s="513"/>
      <c r="H109" s="513"/>
      <c r="I109" s="1624" t="s">
        <v>444</v>
      </c>
      <c r="J109" s="1625"/>
      <c r="K109" s="648">
        <f>IF(L109="",7390,"")</f>
        <v>7390</v>
      </c>
      <c r="L109" s="968"/>
      <c r="M109" s="704"/>
      <c r="N109" s="142"/>
      <c r="O109" s="733"/>
      <c r="P109" s="644"/>
      <c r="Q109" s="174"/>
      <c r="R109" s="30"/>
      <c r="S109" s="30"/>
      <c r="T109" s="30"/>
      <c r="U109" s="30"/>
      <c r="V109" s="30"/>
      <c r="W109" s="30"/>
      <c r="X109" s="30"/>
      <c r="Y109" s="30"/>
      <c r="Z109" s="30"/>
      <c r="AA109" s="30"/>
      <c r="AB109" s="30"/>
      <c r="AC109" s="30"/>
      <c r="AD109" s="30"/>
      <c r="AE109" s="535">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1" t="b">
        <f>BJ96</f>
        <v>1</v>
      </c>
      <c r="BK109" s="23"/>
    </row>
    <row r="110" spans="1:63" s="1117" customFormat="1" ht="12.75" hidden="1" customHeight="1" thickBot="1">
      <c r="A110" s="58"/>
      <c r="B110" s="790"/>
      <c r="C110" s="777" t="s">
        <v>456</v>
      </c>
      <c r="D110" s="646" t="str">
        <f>Translations!$B$738</f>
        <v>VAP(C2F6)</v>
      </c>
      <c r="E110" s="647"/>
      <c r="F110" s="513"/>
      <c r="G110" s="513"/>
      <c r="H110" s="513"/>
      <c r="I110" s="1617" t="s">
        <v>445</v>
      </c>
      <c r="J110" s="1618"/>
      <c r="K110" s="649">
        <f>IF(L110="",12200,"")</f>
        <v>12200</v>
      </c>
      <c r="L110" s="969"/>
      <c r="M110" s="704"/>
      <c r="N110" s="142"/>
      <c r="O110" s="733"/>
      <c r="P110" s="33"/>
      <c r="Q110" s="174"/>
      <c r="R110" s="30"/>
      <c r="S110" s="30"/>
      <c r="T110" s="30"/>
      <c r="U110" s="30"/>
      <c r="V110" s="30"/>
      <c r="W110" s="30"/>
      <c r="X110" s="30"/>
      <c r="Y110" s="30"/>
      <c r="Z110" s="30"/>
      <c r="AA110" s="30"/>
      <c r="AB110" s="30"/>
      <c r="AC110" s="30"/>
      <c r="AD110" s="30"/>
      <c r="AE110" s="674">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80" t="b">
        <f>BJ109</f>
        <v>1</v>
      </c>
      <c r="BK110" s="23"/>
    </row>
    <row r="111" spans="1:63" s="1117" customFormat="1" ht="4.5" hidden="1" customHeight="1">
      <c r="A111" s="58"/>
      <c r="B111" s="790"/>
      <c r="C111" s="779"/>
      <c r="D111" s="306"/>
      <c r="E111" s="495"/>
      <c r="F111" s="142"/>
      <c r="G111" s="142"/>
      <c r="H111" s="142"/>
      <c r="I111" s="142"/>
      <c r="J111" s="142"/>
      <c r="K111" s="142"/>
      <c r="L111" s="704"/>
      <c r="M111" s="704"/>
      <c r="N111" s="142"/>
      <c r="O111" s="733"/>
      <c r="P111" s="33"/>
      <c r="Q111" s="174"/>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7" customFormat="1" ht="12.75" hidden="1" customHeight="1">
      <c r="A112" s="58"/>
      <c r="B112" s="790"/>
      <c r="C112" s="777" t="s">
        <v>457</v>
      </c>
      <c r="D112" s="646" t="str">
        <f>Translations!$B$748</f>
        <v>Išmestas CF4 kiekis</v>
      </c>
      <c r="E112" s="647"/>
      <c r="F112" s="513"/>
      <c r="G112" s="513"/>
      <c r="H112" s="513"/>
      <c r="I112" s="1624" t="s">
        <v>260</v>
      </c>
      <c r="J112" s="1625"/>
      <c r="K112" s="513"/>
      <c r="L112" s="705" t="str">
        <f>IF(ISNUMBER(U91),INDEX(AO101:AP101,U91),"")</f>
        <v/>
      </c>
      <c r="M112" s="704"/>
      <c r="N112" s="142"/>
      <c r="O112" s="733"/>
      <c r="P112" s="644"/>
      <c r="Q112" s="174"/>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7" customFormat="1" ht="12.75" hidden="1" customHeight="1" thickBot="1">
      <c r="A113" s="58"/>
      <c r="B113" s="790"/>
      <c r="C113" s="777" t="s">
        <v>458</v>
      </c>
      <c r="D113" s="646" t="str">
        <f>Translations!$B$749</f>
        <v>Išmestas C2F6 kiekis</v>
      </c>
      <c r="E113" s="513"/>
      <c r="F113" s="513"/>
      <c r="G113" s="513"/>
      <c r="H113" s="513"/>
      <c r="I113" s="1617" t="s">
        <v>260</v>
      </c>
      <c r="J113" s="1618"/>
      <c r="K113" s="513"/>
      <c r="L113" s="706" t="str">
        <f>IF(ISNUMBER(U91),INDEX(AO102:AP102,U91),"")</f>
        <v/>
      </c>
      <c r="M113" s="704"/>
      <c r="N113" s="142"/>
      <c r="O113" s="733"/>
      <c r="P113" s="33"/>
      <c r="Q113" s="174"/>
      <c r="R113" s="30"/>
      <c r="S113" s="30"/>
      <c r="T113" s="30"/>
      <c r="U113" s="30"/>
      <c r="V113" s="30"/>
      <c r="W113" s="30"/>
      <c r="X113" s="30"/>
      <c r="Y113" s="30"/>
      <c r="Z113" s="30"/>
      <c r="AA113" s="30"/>
      <c r="AB113" s="30"/>
      <c r="AC113" s="30"/>
      <c r="AD113" s="30"/>
      <c r="AE113" s="492"/>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7" customFormat="1" ht="5.0999999999999996" hidden="1" customHeight="1">
      <c r="A114" s="58"/>
      <c r="B114" s="790"/>
      <c r="C114" s="779"/>
      <c r="D114" s="180"/>
      <c r="E114" s="142"/>
      <c r="F114" s="142"/>
      <c r="G114" s="142"/>
      <c r="H114" s="142"/>
      <c r="I114" s="142"/>
      <c r="J114" s="142"/>
      <c r="K114" s="142"/>
      <c r="L114" s="142"/>
      <c r="M114" s="704"/>
      <c r="N114" s="142"/>
      <c r="O114" s="733"/>
      <c r="P114" s="33"/>
      <c r="Q114" s="174"/>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7" customFormat="1" ht="12.75" hidden="1" customHeight="1" thickBot="1">
      <c r="A115" s="58"/>
      <c r="B115" s="790"/>
      <c r="C115" s="777" t="s">
        <v>459</v>
      </c>
      <c r="D115" s="646" t="str">
        <f>Translations!$B$167</f>
        <v>Surinkimo efektyvumas</v>
      </c>
      <c r="E115" s="513"/>
      <c r="F115" s="513"/>
      <c r="G115" s="513"/>
      <c r="H115" s="513"/>
      <c r="I115" s="1619" t="s">
        <v>261</v>
      </c>
      <c r="J115" s="1620"/>
      <c r="K115" s="513"/>
      <c r="L115" s="970"/>
      <c r="M115" s="709" t="str">
        <f>IF(AND(E91&lt;&gt;"",L115=""),EUconst_ERR_Incomplete,IF(COUNTIF(AI115:AL115,TRUE)&gt;0,EUconst_ERR_Inconsistent,""))</f>
        <v/>
      </c>
      <c r="N115" s="142"/>
      <c r="O115" s="733"/>
      <c r="P115" s="644"/>
      <c r="Q115" s="174"/>
      <c r="R115" s="30"/>
      <c r="S115" s="30"/>
      <c r="T115" s="30"/>
      <c r="U115" s="30"/>
      <c r="V115" s="30"/>
      <c r="W115" s="30"/>
      <c r="X115" s="30"/>
      <c r="Y115" s="30"/>
      <c r="Z115" s="30"/>
      <c r="AA115" s="30"/>
      <c r="AB115" s="30"/>
      <c r="AC115" s="30"/>
      <c r="AD115" s="30"/>
      <c r="AE115" s="30"/>
      <c r="AF115" s="30"/>
      <c r="AG115" s="30"/>
      <c r="AH115" s="30"/>
      <c r="AI115" s="30"/>
      <c r="AJ115" s="30"/>
      <c r="AK115" s="30"/>
      <c r="AL115" s="524"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4" t="b">
        <f>BJ96</f>
        <v>1</v>
      </c>
      <c r="BK115" s="23"/>
    </row>
    <row r="116" spans="1:63" s="1117" customFormat="1" ht="5.0999999999999996" hidden="1" customHeight="1">
      <c r="A116" s="58"/>
      <c r="B116" s="790"/>
      <c r="C116" s="166"/>
      <c r="D116" s="180"/>
      <c r="E116" s="142"/>
      <c r="F116" s="142"/>
      <c r="G116" s="142"/>
      <c r="H116" s="142"/>
      <c r="I116" s="142"/>
      <c r="J116" s="142"/>
      <c r="K116" s="142"/>
      <c r="L116" s="142"/>
      <c r="M116" s="142"/>
      <c r="N116" s="142"/>
      <c r="O116" s="733"/>
      <c r="P116" s="33"/>
      <c r="Q116" s="174"/>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7" customFormat="1" ht="12.75" hidden="1" customHeight="1" thickBot="1">
      <c r="A117" s="58"/>
      <c r="B117" s="790"/>
      <c r="C117" s="166"/>
      <c r="D117" s="1558" t="str">
        <f>Translations!$B$674</f>
        <v>Pakopos galioja nuo:</v>
      </c>
      <c r="E117" s="1558"/>
      <c r="F117" s="1559"/>
      <c r="G117" s="616"/>
      <c r="H117" s="615" t="str">
        <f>Translations!$B$675</f>
        <v>iki:</v>
      </c>
      <c r="I117" s="616"/>
      <c r="J117" s="142"/>
      <c r="K117" s="142"/>
      <c r="L117" s="142"/>
      <c r="M117" s="142"/>
      <c r="N117" s="142"/>
      <c r="O117" s="733"/>
      <c r="P117" s="33"/>
      <c r="Q117" s="174"/>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4" t="b">
        <f>BJ96</f>
        <v>1</v>
      </c>
      <c r="BK117" s="23"/>
    </row>
    <row r="118" spans="1:63" s="1117" customFormat="1" ht="5.0999999999999996" hidden="1" customHeight="1">
      <c r="A118" s="30"/>
      <c r="B118" s="572"/>
      <c r="C118" s="142"/>
      <c r="D118" s="180"/>
      <c r="E118" s="142"/>
      <c r="F118" s="142"/>
      <c r="G118" s="142"/>
      <c r="H118" s="142"/>
      <c r="I118" s="142"/>
      <c r="J118" s="142"/>
      <c r="K118" s="142"/>
      <c r="L118" s="142"/>
      <c r="M118" s="142"/>
      <c r="N118" s="142"/>
      <c r="O118" s="573"/>
      <c r="P118" s="497"/>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7" customFormat="1" ht="12.75" hidden="1" customHeight="1" thickBot="1">
      <c r="A119" s="30"/>
      <c r="B119" s="572"/>
      <c r="C119" s="142"/>
      <c r="D119" s="1534" t="str">
        <f>Translations!$B$160</f>
        <v>Pastabos:</v>
      </c>
      <c r="E119" s="1535"/>
      <c r="F119" s="1621"/>
      <c r="G119" s="1621"/>
      <c r="H119" s="1621"/>
      <c r="I119" s="1621"/>
      <c r="J119" s="1621"/>
      <c r="K119" s="1621"/>
      <c r="L119" s="1621"/>
      <c r="M119" s="1621"/>
      <c r="N119" s="1621"/>
      <c r="O119" s="573"/>
      <c r="P119" s="497"/>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4" t="b">
        <f>BJ117</f>
        <v>1</v>
      </c>
      <c r="BK119" s="23"/>
    </row>
    <row r="120" spans="1:63" s="1114" customFormat="1" ht="12.75" hidden="1" customHeight="1" thickBot="1">
      <c r="A120" s="58"/>
      <c r="B120" s="838"/>
      <c r="C120" s="499"/>
      <c r="D120" s="500"/>
      <c r="E120" s="501"/>
      <c r="F120" s="499"/>
      <c r="G120" s="502"/>
      <c r="H120" s="502"/>
      <c r="I120" s="502"/>
      <c r="J120" s="502"/>
      <c r="K120" s="502"/>
      <c r="L120" s="502"/>
      <c r="M120" s="502"/>
      <c r="N120" s="502"/>
      <c r="O120" s="740"/>
      <c r="P120" s="494"/>
      <c r="Q120" s="58"/>
      <c r="R120" s="58"/>
      <c r="S120" s="498"/>
      <c r="T120" s="58"/>
      <c r="U120" s="58"/>
      <c r="V120" s="49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4" customFormat="1" ht="12.75" hidden="1" customHeight="1">
      <c r="A121" s="491"/>
      <c r="B121" s="838"/>
      <c r="C121" s="495"/>
      <c r="D121" s="180"/>
      <c r="E121" s="496"/>
      <c r="F121" s="495"/>
      <c r="G121" s="487"/>
      <c r="H121" s="487"/>
      <c r="I121" s="487"/>
      <c r="J121" s="487"/>
      <c r="K121" s="495"/>
      <c r="L121" s="487"/>
      <c r="M121" s="487"/>
      <c r="N121" s="487"/>
      <c r="O121" s="740"/>
      <c r="P121" s="494"/>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7" customFormat="1" ht="15" hidden="1" customHeight="1" thickBot="1">
      <c r="A122" s="58"/>
      <c r="B122" s="790"/>
      <c r="C122" s="617">
        <f>C90+1</f>
        <v>3</v>
      </c>
      <c r="D122" s="343"/>
      <c r="E122" s="1542"/>
      <c r="F122" s="1543"/>
      <c r="G122" s="1543"/>
      <c r="H122" s="1543"/>
      <c r="I122" s="1543"/>
      <c r="J122" s="1544"/>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7" t="str">
        <f>IF(ISBLANK(E122),"",MATCH(E122,CNTR_SourceStreamNames,0))</f>
        <v/>
      </c>
      <c r="S122" s="618" t="str">
        <f>IF(ISBLANK(E122),"",INDEX(B_InstallationDescription!$D$71:$D$145,MATCH(E122,CNTR_SourceStreamNames,0)))</f>
        <v/>
      </c>
      <c r="T122" s="509" t="s">
        <v>393</v>
      </c>
      <c r="U122" s="686" t="s">
        <v>67</v>
      </c>
      <c r="V122" s="58"/>
      <c r="W122" s="58"/>
      <c r="X122" s="58"/>
      <c r="Y122" s="58"/>
      <c r="Z122" s="58"/>
      <c r="AA122" s="58"/>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3"/>
    </row>
    <row r="123" spans="1:63" s="1117" customFormat="1" ht="15" hidden="1" customHeight="1" thickBot="1">
      <c r="A123" s="58"/>
      <c r="B123" s="790"/>
      <c r="C123" s="166"/>
      <c r="D123" s="166"/>
      <c r="E123" s="1547" t="str">
        <f>IF(E122="","",IF(INDEX(B_InstallationDescription!$E$71:$E$145,MATCH(S122,B_InstallationDescription!$D$71:$D$145,0))&gt;0,INDEX(B_InstallationDescription!$E$71:$E$145,MATCH(S122,B_InstallationDescription!$D$71:$D$145,0)),""))</f>
        <v/>
      </c>
      <c r="F123" s="1548"/>
      <c r="G123" s="1548"/>
      <c r="H123" s="1548"/>
      <c r="I123" s="1548"/>
      <c r="J123" s="1549"/>
      <c r="K123" s="142"/>
      <c r="L123" s="142"/>
      <c r="M123" s="143"/>
      <c r="N123" s="143"/>
      <c r="O123" s="733"/>
      <c r="P123" s="494"/>
      <c r="Q123" s="30"/>
      <c r="R123" s="27" t="s">
        <v>93</v>
      </c>
      <c r="S123" s="30"/>
      <c r="T123" s="578" t="b">
        <v>1</v>
      </c>
      <c r="U123" s="518" t="str">
        <f>IF(E123="","",INDEX(CNTR_PFCMethod,MATCH(E122,CNTR_PFCSourceStreamNames,0)))</f>
        <v/>
      </c>
      <c r="V123" s="30"/>
      <c r="W123" s="494"/>
      <c r="X123" s="30"/>
      <c r="Y123" s="30"/>
      <c r="Z123" s="30"/>
      <c r="AA123" s="30"/>
      <c r="AB123" s="342"/>
      <c r="AC123" s="27" t="s">
        <v>308</v>
      </c>
      <c r="AD123" s="30"/>
      <c r="AE123" s="30"/>
      <c r="AF123" s="30"/>
      <c r="AG123" s="30"/>
      <c r="AH123" s="30"/>
      <c r="AI123" s="27" t="s">
        <v>315</v>
      </c>
      <c r="AJ123" s="30"/>
      <c r="AK123" s="30"/>
      <c r="AL123" s="30"/>
      <c r="AM123" s="30"/>
      <c r="AN123" s="27" t="s">
        <v>219</v>
      </c>
      <c r="AO123" s="30"/>
      <c r="AP123" s="30"/>
      <c r="AQ123" s="30"/>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0"/>
      <c r="BJ123" s="30"/>
      <c r="BK123" s="23"/>
    </row>
    <row r="124" spans="1:63" s="1117" customFormat="1" ht="5.0999999999999996" hidden="1" customHeight="1">
      <c r="A124" s="58"/>
      <c r="B124" s="790"/>
      <c r="C124" s="166"/>
      <c r="D124" s="166"/>
      <c r="E124" s="166"/>
      <c r="F124" s="166"/>
      <c r="G124" s="166"/>
      <c r="H124" s="142"/>
      <c r="I124" s="142"/>
      <c r="J124" s="142"/>
      <c r="K124" s="142"/>
      <c r="L124" s="142"/>
      <c r="M124" s="143"/>
      <c r="N124" s="143"/>
      <c r="O124" s="733"/>
      <c r="P124" s="33"/>
      <c r="Q124" s="30"/>
      <c r="R124" s="489"/>
      <c r="S124" s="30"/>
      <c r="T124" s="30"/>
      <c r="U124" s="30"/>
      <c r="V124" s="30"/>
      <c r="W124" s="494"/>
      <c r="X124" s="30"/>
      <c r="Y124" s="30"/>
      <c r="Z124" s="30"/>
      <c r="AA124" s="30"/>
      <c r="AB124" s="342"/>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7" customFormat="1" ht="12.75" hidden="1" customHeight="1">
      <c r="A125" s="58"/>
      <c r="B125" s="790"/>
      <c r="C125" s="166"/>
      <c r="D125" s="166"/>
      <c r="E125" s="1550" t="str">
        <f>IF(E122="","",HYPERLINK("#JUMP_14",EUconst_FurtherGuidancePoint1))</f>
        <v/>
      </c>
      <c r="F125" s="1550"/>
      <c r="G125" s="1550"/>
      <c r="H125" s="1550"/>
      <c r="I125" s="1550"/>
      <c r="J125" s="1550"/>
      <c r="K125" s="1550"/>
      <c r="L125" s="1550"/>
      <c r="M125" s="143"/>
      <c r="N125" s="143"/>
      <c r="O125" s="733"/>
      <c r="P125" s="33"/>
      <c r="Q125" s="30"/>
      <c r="R125" s="489"/>
      <c r="S125" s="30"/>
      <c r="T125" s="30"/>
      <c r="U125" s="30"/>
      <c r="V125" s="30"/>
      <c r="W125" s="494"/>
      <c r="X125" s="30"/>
      <c r="Y125" s="30"/>
      <c r="Z125" s="30"/>
      <c r="AA125" s="30"/>
      <c r="AB125" s="342"/>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7" customFormat="1" ht="5.0999999999999996" hidden="1" customHeight="1">
      <c r="A126" s="58"/>
      <c r="B126" s="790"/>
      <c r="C126" s="166"/>
      <c r="D126" s="166"/>
      <c r="E126" s="166"/>
      <c r="F126" s="166"/>
      <c r="G126" s="166"/>
      <c r="H126" s="142"/>
      <c r="I126" s="142"/>
      <c r="J126" s="142"/>
      <c r="K126" s="142"/>
      <c r="L126" s="142"/>
      <c r="M126" s="143"/>
      <c r="N126" s="143"/>
      <c r="O126" s="733"/>
      <c r="P126" s="33"/>
      <c r="Q126" s="30"/>
      <c r="R126" s="489"/>
      <c r="S126" s="30"/>
      <c r="T126" s="30"/>
      <c r="U126" s="30"/>
      <c r="V126" s="30"/>
      <c r="W126" s="494"/>
      <c r="X126" s="30"/>
      <c r="Y126" s="30"/>
      <c r="Z126" s="30"/>
      <c r="AA126" s="30"/>
      <c r="AB126" s="342"/>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7" customFormat="1" ht="12.75" hidden="1" customHeight="1" thickBot="1">
      <c r="A127" s="58"/>
      <c r="B127" s="790"/>
      <c r="C127" s="166"/>
      <c r="D127" s="166"/>
      <c r="E127" s="166"/>
      <c r="F127" s="506" t="str">
        <f>Translations!$B$333</f>
        <v>Pakopa</v>
      </c>
      <c r="G127" s="1557" t="str">
        <f>Translations!$B$672</f>
        <v>pakopos aprašas</v>
      </c>
      <c r="H127" s="1557"/>
      <c r="I127" s="1555" t="str">
        <f>Translations!$B$158</f>
        <v>Vienetas</v>
      </c>
      <c r="J127" s="1555"/>
      <c r="K127" s="1555" t="str">
        <f>Translations!$B$673</f>
        <v>Vertė</v>
      </c>
      <c r="L127" s="1555"/>
      <c r="M127" s="507" t="str">
        <f>Translations!$B$610</f>
        <v>klaida</v>
      </c>
      <c r="N127" s="142"/>
      <c r="O127" s="733"/>
      <c r="P127" s="508"/>
      <c r="Q127" s="30"/>
      <c r="R127" s="489"/>
      <c r="S127" s="30"/>
      <c r="T127" s="509" t="s">
        <v>303</v>
      </c>
      <c r="U127" s="30"/>
      <c r="V127" s="30"/>
      <c r="W127" s="494" t="s">
        <v>566</v>
      </c>
      <c r="X127" s="494" t="s">
        <v>318</v>
      </c>
      <c r="Y127" s="30"/>
      <c r="Z127" s="30"/>
      <c r="AA127" s="505" t="s">
        <v>309</v>
      </c>
      <c r="AB127" s="342"/>
      <c r="AC127" s="492" t="s">
        <v>306</v>
      </c>
      <c r="AD127" s="504" t="s">
        <v>569</v>
      </c>
      <c r="AE127" s="504" t="s">
        <v>568</v>
      </c>
      <c r="AF127" s="510"/>
      <c r="AG127" s="510"/>
      <c r="AH127" s="30"/>
      <c r="AI127" s="492"/>
      <c r="AJ127" s="492"/>
      <c r="AK127" s="492"/>
      <c r="AL127" s="492"/>
      <c r="AM127" s="492"/>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3" t="s">
        <v>262</v>
      </c>
      <c r="BK127" s="23"/>
    </row>
    <row r="128" spans="1:63" s="1117" customFormat="1" ht="12.75" hidden="1" customHeight="1" thickBot="1">
      <c r="A128" s="58"/>
      <c r="B128" s="790"/>
      <c r="C128" s="814" t="s">
        <v>4</v>
      </c>
      <c r="D128" s="512" t="str">
        <f>Translations!$B$622</f>
        <v>VD:</v>
      </c>
      <c r="E128" s="513"/>
      <c r="F128" s="402"/>
      <c r="G128" s="1532" t="str">
        <f>IF(OR(ISBLANK(F128),F128=EUconst_NoTier),"",IF(X128=0,EUconst_NA,IF(ISERROR(X128),"",X128)))</f>
        <v/>
      </c>
      <c r="H128" s="1533"/>
      <c r="I128" s="1619" t="str">
        <f>EUconst_t</f>
        <v>t</v>
      </c>
      <c r="J128" s="1620"/>
      <c r="K128" s="1630"/>
      <c r="L128" s="1631"/>
      <c r="M128" s="709" t="str">
        <f>IF(AND(E123&lt;&gt;"",OR(F128="",K128=""),W128&lt;&gt;EUconst_NA),EUconst_ERR_Incomplete,IF(COUNTIF(AI128:AL128,TRUE)&gt;0,EUconst_ERR_Inconsistent,""))</f>
        <v/>
      </c>
      <c r="N128" s="142"/>
      <c r="O128" s="733"/>
      <c r="P128" s="644"/>
      <c r="Q128" s="30"/>
      <c r="R128" s="514" t="str">
        <f>EUconst_CNTR_ActivityData&amp;E123</f>
        <v>ActivityData_</v>
      </c>
      <c r="S128" s="497"/>
      <c r="T128" s="514" t="str">
        <f>IF(E122="","",INDEX(B_InstallationDescription!$I$71:$I$145,MATCH(S122,B_InstallationDescription!$D$71:$D$145,0)))</f>
        <v/>
      </c>
      <c r="U128" s="30"/>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0"/>
      <c r="AE128" s="518">
        <f>IF(W128=EUconst_NA,1,IF(COUNT(K128:L128)=0,0,IF(L128="",K128,L128)))</f>
        <v>0</v>
      </c>
      <c r="AF128" s="510" t="s">
        <v>311</v>
      </c>
      <c r="AG128" s="510"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4" t="b">
        <f>OR(CNTR_PFCRelevant=EUconst_NotRelevant,AND(COUNTA(CNTR_ListRelevantSections)&gt;0,E122=""))</f>
        <v>1</v>
      </c>
      <c r="BK128" s="23"/>
    </row>
    <row r="129" spans="1:63" s="1117" customFormat="1" ht="5.0999999999999996" hidden="1" customHeight="1">
      <c r="A129" s="58"/>
      <c r="B129" s="790"/>
      <c r="C129" s="814"/>
      <c r="D129" s="306"/>
      <c r="E129" s="142"/>
      <c r="F129" s="143"/>
      <c r="G129" s="143"/>
      <c r="H129" s="143" t="s">
        <v>236</v>
      </c>
      <c r="I129" s="525"/>
      <c r="J129" s="525"/>
      <c r="K129" s="143"/>
      <c r="L129" s="143"/>
      <c r="M129" s="710"/>
      <c r="N129" s="142"/>
      <c r="O129" s="733"/>
      <c r="P129" s="33"/>
      <c r="Q129" s="30"/>
      <c r="R129" s="155"/>
      <c r="S129" s="497"/>
      <c r="T129" s="30"/>
      <c r="U129" s="30"/>
      <c r="V129" s="497"/>
      <c r="W129" s="526"/>
      <c r="X129" s="30"/>
      <c r="Y129" s="30"/>
      <c r="Z129" s="30"/>
      <c r="AA129" s="30"/>
      <c r="AB129" s="342"/>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3"/>
      <c r="BK129" s="23"/>
    </row>
    <row r="130" spans="1:63" s="1117" customFormat="1" ht="12.75" hidden="1" customHeight="1">
      <c r="A130" s="58"/>
      <c r="B130" s="790"/>
      <c r="C130" s="814" t="s">
        <v>5</v>
      </c>
      <c r="D130" s="512" t="str">
        <f>Translations!$B$722</f>
        <v>A. Dažnis</v>
      </c>
      <c r="E130" s="513"/>
      <c r="F130" s="527"/>
      <c r="G130" s="1532" t="str">
        <f t="shared" ref="G130:G136" si="14">IF(OR(ISBLANK(F130),F130=EUconst_NoTier),"",IF(X130=0,EUconst_NotApplicable,IF(ISERROR(X130),"",X130)))</f>
        <v/>
      </c>
      <c r="H130" s="1556"/>
      <c r="I130" s="1624" t="str">
        <f>IF(W130=EUconst_NA,"",INDEX(PFCUnits,1))</f>
        <v>1/(vienoje elektrolizės vonioje per parą)</v>
      </c>
      <c r="J130" s="1625"/>
      <c r="K130" s="678" t="str">
        <f t="shared" ref="K130:K136" si="15">IF(L130="",AD130,"")</f>
        <v/>
      </c>
      <c r="L130" s="694"/>
      <c r="M130" s="709" t="str">
        <f>IF(AND(E123&lt;&gt;"",OR(F130="",L130=""),W130&lt;&gt;EUconst_NA),EUconst_ERR_Incomplete,IF(COUNTIF(AI130:AL130,TRUE)&gt;0,EUconst_ERR_Inconsistent,""))</f>
        <v/>
      </c>
      <c r="N130" s="495"/>
      <c r="O130" s="733"/>
      <c r="P130" s="33"/>
      <c r="Q130" s="30"/>
      <c r="R130" s="530" t="str">
        <f>R128</f>
        <v>ActivityData_</v>
      </c>
      <c r="S130" s="497"/>
      <c r="T130" s="657" t="str">
        <f>T128</f>
        <v/>
      </c>
      <c r="U130" s="30"/>
      <c r="V130" s="497">
        <v>1</v>
      </c>
      <c r="W130" s="672" t="str">
        <f>IF(E123="","",IF(U123&lt;&gt;V130,EUconst_NA,INDEX(EUwideConstants!$N:$N,MATCH(R130,EUwideConstants!$Q:$Q,0))))</f>
        <v/>
      </c>
      <c r="X130" s="533" t="str">
        <f>IF(ISBLANK(F130),"",IF(F130=EUconst_NA,"",INDEX(EUwideConstants!$H:$M,MATCH(R130,EUwideConstants!$Q:$Q,0),MATCH(F130,CNTR_TierList,0))))</f>
        <v/>
      </c>
      <c r="Y130" s="30"/>
      <c r="Z130" s="30"/>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0"/>
      <c r="AI130" s="30"/>
      <c r="AJ130" s="30"/>
      <c r="AK130" s="534" t="b">
        <f t="shared" ref="AK130:AK136" si="18">AND(L130&lt;&gt;"",W130=EUconst_NA)</f>
        <v>0</v>
      </c>
      <c r="AL130" s="30"/>
      <c r="AM130" s="30"/>
      <c r="AN130" s="30"/>
      <c r="AO130" s="493" t="s">
        <v>390</v>
      </c>
      <c r="AP130" s="493" t="s">
        <v>391</v>
      </c>
      <c r="AQ130" s="30"/>
      <c r="AR130" s="30"/>
      <c r="AS130" s="30"/>
      <c r="AT130" s="30"/>
      <c r="AU130" s="30"/>
      <c r="AV130" s="30"/>
      <c r="AW130" s="30"/>
      <c r="AX130" s="30"/>
      <c r="AY130" s="30"/>
      <c r="AZ130" s="30"/>
      <c r="BA130" s="30"/>
      <c r="BB130" s="30"/>
      <c r="BC130" s="30"/>
      <c r="BD130" s="30"/>
      <c r="BE130" s="30"/>
      <c r="BF130" s="30"/>
      <c r="BG130" s="30"/>
      <c r="BH130" s="30"/>
      <c r="BI130" s="30"/>
      <c r="BJ130" s="534" t="b">
        <f>OR(BJ128,W130=EUconst_NA)</f>
        <v>1</v>
      </c>
      <c r="BK130" s="23"/>
    </row>
    <row r="131" spans="1:63" s="1117" customFormat="1" ht="12.75" hidden="1" customHeight="1" thickBot="1">
      <c r="A131" s="58"/>
      <c r="B131" s="790"/>
      <c r="C131" s="814" t="s">
        <v>196</v>
      </c>
      <c r="D131" s="512" t="str">
        <f>Translations!$B$724</f>
        <v>A. Trukmė</v>
      </c>
      <c r="E131" s="513"/>
      <c r="F131" s="645"/>
      <c r="G131" s="1532" t="str">
        <f t="shared" si="14"/>
        <v/>
      </c>
      <c r="H131" s="1556"/>
      <c r="I131" s="1626" t="str">
        <f>IF(W131=EUconst_NA,"",INDEX(PFCUnits,2))</f>
        <v>min.</v>
      </c>
      <c r="J131" s="1627"/>
      <c r="K131" s="679" t="str">
        <f t="shared" si="15"/>
        <v/>
      </c>
      <c r="L131" s="695"/>
      <c r="M131" s="709" t="str">
        <f>IF(AND(E123&lt;&gt;"",OR(F131="",L131=""),W131&lt;&gt;EUconst_NA),EUconst_ERR_Incomplete,IF(COUNTIF(AI131:AL131,TRUE)&gt;0,EUconst_ERR_Inconsistent,""))</f>
        <v/>
      </c>
      <c r="N131" s="495"/>
      <c r="O131" s="733"/>
      <c r="P131" s="33"/>
      <c r="Q131" s="30"/>
      <c r="R131" s="552" t="str">
        <f>R130</f>
        <v>ActivityData_</v>
      </c>
      <c r="S131" s="497"/>
      <c r="T131" s="658" t="str">
        <f t="shared" ref="T131:T136" si="19">T130</f>
        <v/>
      </c>
      <c r="U131" s="30"/>
      <c r="V131" s="497">
        <v>1</v>
      </c>
      <c r="W131" s="671" t="str">
        <f>IF(E123="","",IF(U123&lt;&gt;V131,EUconst_NA,INDEX(EUwideConstants!$N:$N,MATCH(R131,EUwideConstants!$Q:$Q,0))))</f>
        <v/>
      </c>
      <c r="X131" s="555" t="str">
        <f>IF(ISBLANK(F131),"",IF(F131=EUconst_NA,"",INDEX(EUwideConstants!$H:$M,MATCH(R131,EUwideConstants!$Q:$Q,0),MATCH(F131,CNTR_TierList,0))))</f>
        <v/>
      </c>
      <c r="Y131" s="30"/>
      <c r="Z131" s="30"/>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0"/>
      <c r="AI131" s="30"/>
      <c r="AJ131" s="30"/>
      <c r="AK131" s="660" t="b">
        <f t="shared" si="18"/>
        <v>0</v>
      </c>
      <c r="AL131" s="30"/>
      <c r="AM131" s="30"/>
      <c r="AN131" s="547" t="s">
        <v>446</v>
      </c>
      <c r="AO131" s="546" t="str">
        <f>IF(ISNUMBER(U123),AE128*AE130*AE131*AE132/1000,"")</f>
        <v/>
      </c>
      <c r="AP131" s="524"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60" t="b">
        <f>OR(BJ128,W131=EUconst_NA)</f>
        <v>1</v>
      </c>
      <c r="BK131" s="23"/>
    </row>
    <row r="132" spans="1:63" s="1117" customFormat="1" ht="12.75" hidden="1" customHeight="1" thickBot="1">
      <c r="A132" s="58"/>
      <c r="B132" s="790"/>
      <c r="C132" s="814" t="s">
        <v>197</v>
      </c>
      <c r="D132" s="652" t="str">
        <f>Translations!$B$726</f>
        <v>A. NITF(CF4)</v>
      </c>
      <c r="E132" s="653"/>
      <c r="F132" s="548"/>
      <c r="G132" s="1628" t="str">
        <f t="shared" si="14"/>
        <v/>
      </c>
      <c r="H132" s="1629"/>
      <c r="I132" s="1626" t="str">
        <f>IF(W132=EUconst_NA,"",INDEX(PFCUnits,3))</f>
        <v>(kg CF4/t Al)/(min./vienoje elektrolizės vonioje per parą)</v>
      </c>
      <c r="J132" s="1627"/>
      <c r="K132" s="680" t="str">
        <f t="shared" si="15"/>
        <v/>
      </c>
      <c r="L132" s="683"/>
      <c r="M132" s="711" t="str">
        <f>IF(AND(E123&lt;&gt;"",OR(F132="",COUNT(K132:L132)=0),W132&lt;&gt;EUconst_NA),EUconst_ERR_Incomplete,IF(COUNTIF(AI132:AL132,TRUE)&gt;0,EUconst_ERR_Inconsistent,""))</f>
        <v/>
      </c>
      <c r="N132" s="142"/>
      <c r="O132" s="733"/>
      <c r="P132" s="33"/>
      <c r="Q132" s="30"/>
      <c r="R132" s="552" t="str">
        <f>EUconst_CNTR_EF&amp;$E123</f>
        <v>EF_</v>
      </c>
      <c r="S132" s="497"/>
      <c r="T132" s="658" t="str">
        <f t="shared" si="19"/>
        <v/>
      </c>
      <c r="U132" s="30"/>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0"/>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0"/>
      <c r="AI132" s="30"/>
      <c r="AJ132" s="30"/>
      <c r="AK132" s="660" t="b">
        <f t="shared" si="18"/>
        <v>0</v>
      </c>
      <c r="AL132" s="30"/>
      <c r="AM132" s="30"/>
      <c r="AN132" s="547" t="s">
        <v>447</v>
      </c>
      <c r="AO132" s="546">
        <f>IF(AND(ISNUMBER(AO131),AO131&gt;0),AO131*AE136,0)</f>
        <v>0</v>
      </c>
      <c r="AP132" s="524">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60" t="b">
        <f>OR(BJ128,W132=EUconst_NA)</f>
        <v>1</v>
      </c>
      <c r="BK132" s="23"/>
    </row>
    <row r="133" spans="1:63" s="1117" customFormat="1" ht="12.75" hidden="1" customHeight="1" thickBot="1">
      <c r="A133" s="58"/>
      <c r="B133" s="790"/>
      <c r="C133" s="814" t="s">
        <v>198</v>
      </c>
      <c r="D133" s="650" t="str">
        <f>Translations!$B$728</f>
        <v>B. AEV</v>
      </c>
      <c r="E133" s="651"/>
      <c r="F133" s="645"/>
      <c r="G133" s="1622" t="str">
        <f t="shared" si="14"/>
        <v/>
      </c>
      <c r="H133" s="1623"/>
      <c r="I133" s="1626" t="str">
        <f>IF(W133=EUconst_NA,"",INDEX(PFCUnits,4))</f>
        <v>mV</v>
      </c>
      <c r="J133" s="1627"/>
      <c r="K133" s="679" t="str">
        <f t="shared" si="15"/>
        <v/>
      </c>
      <c r="L133" s="695"/>
      <c r="M133" s="712" t="str">
        <f>IF(AND(E123&lt;&gt;"",OR(F133="",L133=""),W133&lt;&gt;EUconst_NA),EUconst_ERR_Incomplete,IF(COUNTIF(AI133:AL133,TRUE)&gt;0,EUconst_ERR_Inconsistent,""))</f>
        <v/>
      </c>
      <c r="N133" s="142"/>
      <c r="O133" s="733"/>
      <c r="P133" s="644"/>
      <c r="Q133" s="30"/>
      <c r="R133" s="552" t="str">
        <f>R128</f>
        <v>ActivityData_</v>
      </c>
      <c r="S133" s="497"/>
      <c r="T133" s="658" t="str">
        <f t="shared" si="19"/>
        <v/>
      </c>
      <c r="U133" s="30"/>
      <c r="V133" s="497">
        <v>2</v>
      </c>
      <c r="W133" s="671" t="str">
        <f>IF(E123="","",IF(U123&lt;&gt;V133,EUconst_NA,INDEX(EUwideConstants!$N:$N,MATCH(R133,EUwideConstants!$Q:$Q,0))))</f>
        <v/>
      </c>
      <c r="X133" s="555" t="str">
        <f>IF(ISBLANK(F133),"",IF(F133=EUconst_NA,"",INDEX(EUwideConstants!$H:$M,MATCH(R133,EUwideConstants!$Q:$Q,0),MATCH(F133,CNTR_TierList,0))))</f>
        <v/>
      </c>
      <c r="Y133" s="30"/>
      <c r="Z133" s="30"/>
      <c r="AA133" s="557" t="b">
        <f>AND(AA128,W133&lt;&gt;EUconst_NA)</f>
        <v>0</v>
      </c>
      <c r="AB133" s="342"/>
      <c r="AC133" s="676"/>
      <c r="AD133" s="676" t="str">
        <f>""</f>
        <v/>
      </c>
      <c r="AE133" s="660">
        <f t="shared" si="16"/>
        <v>0</v>
      </c>
      <c r="AF133" s="660" t="b">
        <f>AND(AA133=TRUE,OR(ISNUMBER(L133),NOT(ISNUMBER(Y133))))</f>
        <v>0</v>
      </c>
      <c r="AG133" s="660" t="b">
        <f t="shared" si="17"/>
        <v>0</v>
      </c>
      <c r="AH133" s="30"/>
      <c r="AI133" s="30"/>
      <c r="AJ133" s="30"/>
      <c r="AK133" s="660" t="b">
        <f t="shared" si="18"/>
        <v>0</v>
      </c>
      <c r="AL133" s="30"/>
      <c r="AM133" s="30"/>
      <c r="AN133" s="547" t="s">
        <v>446</v>
      </c>
      <c r="AO133" s="546" t="str">
        <f>IF(ISNUMBER(AO131),AO131*AE141,"")</f>
        <v/>
      </c>
      <c r="AP133" s="524"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60" t="b">
        <f>OR(BJ128,W133=EUconst_NA)</f>
        <v>1</v>
      </c>
      <c r="BK133" s="23"/>
    </row>
    <row r="134" spans="1:63" s="1117" customFormat="1" ht="12.75" hidden="1" customHeight="1" thickBot="1">
      <c r="A134" s="58"/>
      <c r="B134" s="790"/>
      <c r="C134" s="777" t="s">
        <v>199</v>
      </c>
      <c r="D134" s="512" t="str">
        <f>Translations!$B$730</f>
        <v>B. EN</v>
      </c>
      <c r="E134" s="513"/>
      <c r="F134" s="548"/>
      <c r="G134" s="1532" t="str">
        <f t="shared" si="14"/>
        <v/>
      </c>
      <c r="H134" s="1533"/>
      <c r="I134" s="1626" t="str">
        <f>IF(W134=EUconst_NA,"","-")</f>
        <v>-</v>
      </c>
      <c r="J134" s="1627"/>
      <c r="K134" s="681" t="str">
        <f t="shared" si="15"/>
        <v/>
      </c>
      <c r="L134" s="571"/>
      <c r="M134" s="709" t="str">
        <f>IF(AND(E123&lt;&gt;"",OR(F134="",L134=""),W134&lt;&gt;EUconst_NA),EUconst_ERR_Incomplete,IF(COUNTIF(AI134:AL134,TRUE)&gt;0,EUconst_ERR_Inconsistent,""))</f>
        <v/>
      </c>
      <c r="N134" s="142"/>
      <c r="O134" s="733"/>
      <c r="P134" s="644"/>
      <c r="Q134" s="30"/>
      <c r="R134" s="552" t="str">
        <f>R133</f>
        <v>ActivityData_</v>
      </c>
      <c r="S134" s="497"/>
      <c r="T134" s="658" t="str">
        <f t="shared" si="19"/>
        <v/>
      </c>
      <c r="U134" s="30"/>
      <c r="V134" s="497">
        <v>2</v>
      </c>
      <c r="W134" s="671" t="str">
        <f>IF(E123="","",IF(U123&lt;&gt;V134,EUconst_NA,INDEX(EUwideConstants!$N:$N,MATCH(R134,EUwideConstants!$Q:$Q,0))))</f>
        <v/>
      </c>
      <c r="X134" s="555" t="str">
        <f>IF(ISBLANK(F134),"",IF(F134=EUconst_NA,"",INDEX(EUwideConstants!$H:$M,MATCH(R134,EUwideConstants!$Q:$Q,0),MATCH(F134,CNTR_TierList,0))))</f>
        <v/>
      </c>
      <c r="Y134" s="30"/>
      <c r="Z134" s="30"/>
      <c r="AA134" s="557" t="b">
        <f>AND(AA128,W134&lt;&gt;EUconst_NA)</f>
        <v>0</v>
      </c>
      <c r="AB134" s="342"/>
      <c r="AC134" s="676"/>
      <c r="AD134" s="676" t="str">
        <f>""</f>
        <v/>
      </c>
      <c r="AE134" s="660">
        <f t="shared" si="16"/>
        <v>0</v>
      </c>
      <c r="AF134" s="660" t="b">
        <f>AND(AA134=TRUE,OR(ISNUMBER(L134),NOT(ISNUMBER(Y134))))</f>
        <v>0</v>
      </c>
      <c r="AG134" s="660" t="b">
        <f t="shared" si="17"/>
        <v>0</v>
      </c>
      <c r="AH134" s="30"/>
      <c r="AI134" s="30"/>
      <c r="AJ134" s="30"/>
      <c r="AK134" s="708" t="b">
        <f t="shared" si="18"/>
        <v>0</v>
      </c>
      <c r="AL134" s="524" t="b">
        <f>L134&gt;100%</f>
        <v>0</v>
      </c>
      <c r="AM134" s="30"/>
      <c r="AN134" s="547" t="s">
        <v>447</v>
      </c>
      <c r="AO134" s="546">
        <f>IF(ISNUMBER(AO132),AO132*AE142,"")</f>
        <v>0</v>
      </c>
      <c r="AP134" s="524">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60" t="b">
        <f>OR(BJ128,W134=EUconst_NA)</f>
        <v>1</v>
      </c>
      <c r="BK134" s="23"/>
    </row>
    <row r="135" spans="1:63" s="1117" customFormat="1" ht="12.75" hidden="1" customHeight="1" thickBot="1">
      <c r="A135" s="58"/>
      <c r="B135" s="790"/>
      <c r="C135" s="814" t="s">
        <v>200</v>
      </c>
      <c r="D135" s="652" t="str">
        <f>Translations!$B$732</f>
        <v>B. VĮK</v>
      </c>
      <c r="E135" s="653"/>
      <c r="F135" s="548"/>
      <c r="G135" s="1628" t="str">
        <f t="shared" si="14"/>
        <v/>
      </c>
      <c r="H135" s="1629"/>
      <c r="I135" s="1626" t="str">
        <f>IF(W135=EUconst_NA,"",INDEX(PFCUnits,6))</f>
        <v>(kg CF4)/(t Al mV)</v>
      </c>
      <c r="J135" s="1627"/>
      <c r="K135" s="681" t="str">
        <f t="shared" si="15"/>
        <v/>
      </c>
      <c r="L135" s="684"/>
      <c r="M135" s="711" t="str">
        <f>IF(AND(E123&lt;&gt;"",OR(F135="",COUNT(K135:L135)=0),W135&lt;&gt;EUconst_NA),EUconst_ERR_Incomplete,IF(COUNTIF(AI135:AL135,TRUE)&gt;0,EUconst_ERR_Inconsistent,""))</f>
        <v/>
      </c>
      <c r="N135" s="142"/>
      <c r="O135" s="733"/>
      <c r="P135" s="33"/>
      <c r="Q135" s="30"/>
      <c r="R135" s="552" t="str">
        <f>EUconst_CNTR_EF&amp;E123</f>
        <v>EF_</v>
      </c>
      <c r="S135" s="497"/>
      <c r="T135" s="658" t="str">
        <f t="shared" si="19"/>
        <v/>
      </c>
      <c r="U135" s="30"/>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0"/>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0"/>
      <c r="AI135" s="30"/>
      <c r="AJ135" s="30"/>
      <c r="AK135" s="660"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60" t="b">
        <f>OR(BJ128,W135=EUconst_NA)</f>
        <v>1</v>
      </c>
      <c r="BK135" s="23"/>
    </row>
    <row r="136" spans="1:63" s="1117" customFormat="1" ht="12.75" hidden="1" customHeight="1" thickBot="1">
      <c r="A136" s="58"/>
      <c r="B136" s="790"/>
      <c r="C136" s="814" t="s">
        <v>329</v>
      </c>
      <c r="D136" s="650" t="str">
        <f>Translations!$B$734</f>
        <v>F(C2F6)</v>
      </c>
      <c r="E136" s="651"/>
      <c r="F136" s="597"/>
      <c r="G136" s="1622" t="str">
        <f t="shared" si="14"/>
        <v/>
      </c>
      <c r="H136" s="1623"/>
      <c r="I136" s="1617" t="str">
        <f>IF(W136=EUconst_NA,"",INDEX(PFCUnits,7))</f>
        <v>t C2F6/t CF4</v>
      </c>
      <c r="J136" s="1618"/>
      <c r="K136" s="682" t="str">
        <f t="shared" si="15"/>
        <v/>
      </c>
      <c r="L136" s="685"/>
      <c r="M136" s="712" t="str">
        <f>IF(AND(E123&lt;&gt;"",OR(F136="",COUNT(K136:L136)=0),W136&lt;&gt;EUconst_NA),EUconst_ERR_Incomplete,IF(COUNTIF(AI136:AL136,TRUE)&gt;0,EUconst_ERR_Inconsistent,""))</f>
        <v/>
      </c>
      <c r="N136" s="142"/>
      <c r="O136" s="733"/>
      <c r="P136" s="33"/>
      <c r="Q136" s="30"/>
      <c r="R136" s="599" t="str">
        <f>EUconst_CNTR_EF&amp;E123</f>
        <v>EF_</v>
      </c>
      <c r="S136" s="497"/>
      <c r="T136" s="659" t="str">
        <f t="shared" si="19"/>
        <v/>
      </c>
      <c r="U136" s="30"/>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0"/>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0"/>
      <c r="AI136" s="30"/>
      <c r="AJ136" s="30"/>
      <c r="AK136" s="582"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2" t="b">
        <f>OR(BJ128,W136=EUconst_NA)</f>
        <v>1</v>
      </c>
      <c r="BK136" s="23"/>
    </row>
    <row r="137" spans="1:63" s="1117" customFormat="1" ht="5.0999999999999996" hidden="1" customHeight="1">
      <c r="A137" s="58"/>
      <c r="B137" s="790"/>
      <c r="C137" s="166"/>
      <c r="D137" s="180"/>
      <c r="E137" s="142"/>
      <c r="F137" s="142"/>
      <c r="G137" s="142"/>
      <c r="H137" s="142"/>
      <c r="I137" s="142"/>
      <c r="J137" s="142"/>
      <c r="K137" s="142"/>
      <c r="L137" s="142"/>
      <c r="M137" s="704"/>
      <c r="N137" s="142"/>
      <c r="O137" s="733"/>
      <c r="P137" s="33"/>
      <c r="Q137" s="174"/>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7" customFormat="1" ht="12.75" hidden="1" customHeight="1">
      <c r="A138" s="58"/>
      <c r="B138" s="790"/>
      <c r="C138" s="777" t="s">
        <v>330</v>
      </c>
      <c r="D138" s="646" t="str">
        <f>Translations!$B$748</f>
        <v>Išmestas CF4 kiekis</v>
      </c>
      <c r="E138" s="647"/>
      <c r="F138" s="513"/>
      <c r="G138" s="513"/>
      <c r="H138" s="513"/>
      <c r="I138" s="1624" t="str">
        <f>EUconst_t</f>
        <v>t</v>
      </c>
      <c r="J138" s="1625"/>
      <c r="K138" s="513"/>
      <c r="L138" s="955" t="str">
        <f>IF(ISNUMBER(U123),INDEX(AO131:AP131,U123),"")</f>
        <v/>
      </c>
      <c r="M138" s="704"/>
      <c r="N138" s="142"/>
      <c r="O138" s="733"/>
      <c r="P138" s="33"/>
      <c r="Q138" s="174"/>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7" customFormat="1" ht="12.75" hidden="1" customHeight="1" thickBot="1">
      <c r="A139" s="58"/>
      <c r="B139" s="790"/>
      <c r="C139" s="777" t="s">
        <v>454</v>
      </c>
      <c r="D139" s="646" t="str">
        <f>Translations!$B$749</f>
        <v>Išmestas C2F6 kiekis</v>
      </c>
      <c r="E139" s="513"/>
      <c r="F139" s="513"/>
      <c r="G139" s="513"/>
      <c r="H139" s="513"/>
      <c r="I139" s="1617" t="str">
        <f>EUconst_t</f>
        <v>t</v>
      </c>
      <c r="J139" s="1618"/>
      <c r="K139" s="513"/>
      <c r="L139" s="956" t="str">
        <f>IF(ISNUMBER(U123),INDEX(AO132:AP132,U123),"")</f>
        <v/>
      </c>
      <c r="M139" s="704"/>
      <c r="N139" s="142"/>
      <c r="O139" s="733"/>
      <c r="P139" s="33"/>
      <c r="Q139" s="174"/>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7" customFormat="1" ht="4.5" hidden="1" customHeight="1">
      <c r="A140" s="58"/>
      <c r="B140" s="790"/>
      <c r="C140" s="779"/>
      <c r="D140" s="180"/>
      <c r="E140" s="142"/>
      <c r="F140" s="142"/>
      <c r="G140" s="142"/>
      <c r="H140" s="142"/>
      <c r="I140" s="142"/>
      <c r="J140" s="142"/>
      <c r="K140" s="142"/>
      <c r="L140" s="142"/>
      <c r="M140" s="704"/>
      <c r="N140" s="142"/>
      <c r="O140" s="733"/>
      <c r="P140" s="33"/>
      <c r="Q140" s="174"/>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7" customFormat="1" ht="12.75" hidden="1" customHeight="1">
      <c r="A141" s="58"/>
      <c r="B141" s="790"/>
      <c r="C141" s="777" t="s">
        <v>455</v>
      </c>
      <c r="D141" s="646" t="str">
        <f>Translations!$B$736</f>
        <v>VAP(CF4)</v>
      </c>
      <c r="E141" s="647"/>
      <c r="F141" s="513"/>
      <c r="G141" s="513"/>
      <c r="H141" s="513"/>
      <c r="I141" s="1624" t="s">
        <v>444</v>
      </c>
      <c r="J141" s="1625"/>
      <c r="K141" s="648">
        <f>IF(L141="",7390,"")</f>
        <v>7390</v>
      </c>
      <c r="L141" s="968"/>
      <c r="M141" s="704"/>
      <c r="N141" s="142"/>
      <c r="O141" s="733"/>
      <c r="P141" s="644"/>
      <c r="Q141" s="174"/>
      <c r="R141" s="30"/>
      <c r="S141" s="30"/>
      <c r="T141" s="30"/>
      <c r="U141" s="30"/>
      <c r="V141" s="30"/>
      <c r="W141" s="30"/>
      <c r="X141" s="30"/>
      <c r="Y141" s="30"/>
      <c r="Z141" s="30"/>
      <c r="AA141" s="30"/>
      <c r="AB141" s="30"/>
      <c r="AC141" s="30"/>
      <c r="AD141" s="30"/>
      <c r="AE141" s="535">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1" t="b">
        <f>BJ128</f>
        <v>1</v>
      </c>
      <c r="BK141" s="23"/>
    </row>
    <row r="142" spans="1:63" s="1117" customFormat="1" ht="12.75" hidden="1" customHeight="1" thickBot="1">
      <c r="A142" s="58"/>
      <c r="B142" s="790"/>
      <c r="C142" s="777" t="s">
        <v>456</v>
      </c>
      <c r="D142" s="646" t="str">
        <f>Translations!$B$738</f>
        <v>VAP(C2F6)</v>
      </c>
      <c r="E142" s="647"/>
      <c r="F142" s="513"/>
      <c r="G142" s="513"/>
      <c r="H142" s="513"/>
      <c r="I142" s="1617" t="s">
        <v>445</v>
      </c>
      <c r="J142" s="1618"/>
      <c r="K142" s="649">
        <f>IF(L142="",12200,"")</f>
        <v>12200</v>
      </c>
      <c r="L142" s="969"/>
      <c r="M142" s="704"/>
      <c r="N142" s="142"/>
      <c r="O142" s="733"/>
      <c r="P142" s="33"/>
      <c r="Q142" s="174"/>
      <c r="R142" s="30"/>
      <c r="S142" s="30"/>
      <c r="T142" s="30"/>
      <c r="U142" s="30"/>
      <c r="V142" s="30"/>
      <c r="W142" s="30"/>
      <c r="X142" s="30"/>
      <c r="Y142" s="30"/>
      <c r="Z142" s="30"/>
      <c r="AA142" s="30"/>
      <c r="AB142" s="30"/>
      <c r="AC142" s="30"/>
      <c r="AD142" s="30"/>
      <c r="AE142" s="674">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80" t="b">
        <f>BJ141</f>
        <v>1</v>
      </c>
      <c r="BK142" s="23"/>
    </row>
    <row r="143" spans="1:63" s="1117" customFormat="1" ht="4.5" hidden="1" customHeight="1">
      <c r="A143" s="58"/>
      <c r="B143" s="790"/>
      <c r="C143" s="779"/>
      <c r="D143" s="306"/>
      <c r="E143" s="495"/>
      <c r="F143" s="142"/>
      <c r="G143" s="142"/>
      <c r="H143" s="142"/>
      <c r="I143" s="142"/>
      <c r="J143" s="142"/>
      <c r="K143" s="142"/>
      <c r="L143" s="704"/>
      <c r="M143" s="704"/>
      <c r="N143" s="142"/>
      <c r="O143" s="733"/>
      <c r="P143" s="33"/>
      <c r="Q143" s="174"/>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7" customFormat="1" ht="12.75" hidden="1" customHeight="1">
      <c r="A144" s="58"/>
      <c r="B144" s="790"/>
      <c r="C144" s="777" t="s">
        <v>457</v>
      </c>
      <c r="D144" s="646" t="str">
        <f>Translations!$B$748</f>
        <v>Išmestas CF4 kiekis</v>
      </c>
      <c r="E144" s="647"/>
      <c r="F144" s="513"/>
      <c r="G144" s="513"/>
      <c r="H144" s="513"/>
      <c r="I144" s="1624" t="s">
        <v>260</v>
      </c>
      <c r="J144" s="1625"/>
      <c r="K144" s="513"/>
      <c r="L144" s="705" t="str">
        <f>IF(ISNUMBER(U123),INDEX(AO133:AP133,U123),"")</f>
        <v/>
      </c>
      <c r="M144" s="704"/>
      <c r="N144" s="142"/>
      <c r="O144" s="733"/>
      <c r="P144" s="644"/>
      <c r="Q144" s="174"/>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7" customFormat="1" ht="12.75" hidden="1" customHeight="1" thickBot="1">
      <c r="A145" s="58"/>
      <c r="B145" s="790"/>
      <c r="C145" s="777" t="s">
        <v>458</v>
      </c>
      <c r="D145" s="646" t="str">
        <f>Translations!$B$749</f>
        <v>Išmestas C2F6 kiekis</v>
      </c>
      <c r="E145" s="513"/>
      <c r="F145" s="513"/>
      <c r="G145" s="513"/>
      <c r="H145" s="513"/>
      <c r="I145" s="1617" t="s">
        <v>260</v>
      </c>
      <c r="J145" s="1618"/>
      <c r="K145" s="513"/>
      <c r="L145" s="706" t="str">
        <f>IF(ISNUMBER(U123),INDEX(AO134:AP134,U123),"")</f>
        <v/>
      </c>
      <c r="M145" s="704"/>
      <c r="N145" s="142"/>
      <c r="O145" s="733"/>
      <c r="P145" s="33"/>
      <c r="Q145" s="174"/>
      <c r="R145" s="30"/>
      <c r="S145" s="30"/>
      <c r="T145" s="30"/>
      <c r="U145" s="30"/>
      <c r="V145" s="30"/>
      <c r="W145" s="30"/>
      <c r="X145" s="30"/>
      <c r="Y145" s="30"/>
      <c r="Z145" s="30"/>
      <c r="AA145" s="30"/>
      <c r="AB145" s="30"/>
      <c r="AC145" s="30"/>
      <c r="AD145" s="30"/>
      <c r="AE145" s="492"/>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7" customFormat="1" ht="4.5" hidden="1" customHeight="1">
      <c r="A146" s="58"/>
      <c r="B146" s="790"/>
      <c r="C146" s="779"/>
      <c r="D146" s="180"/>
      <c r="E146" s="142"/>
      <c r="F146" s="142"/>
      <c r="G146" s="142"/>
      <c r="H146" s="142"/>
      <c r="I146" s="142"/>
      <c r="J146" s="142"/>
      <c r="K146" s="142"/>
      <c r="L146" s="142"/>
      <c r="M146" s="704"/>
      <c r="N146" s="142"/>
      <c r="O146" s="733"/>
      <c r="P146" s="33"/>
      <c r="Q146" s="174"/>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7" customFormat="1" ht="12.75" hidden="1" customHeight="1" thickBot="1">
      <c r="A147" s="58"/>
      <c r="B147" s="790"/>
      <c r="C147" s="777" t="s">
        <v>459</v>
      </c>
      <c r="D147" s="646" t="str">
        <f>Translations!$B$167</f>
        <v>Surinkimo efektyvumas</v>
      </c>
      <c r="E147" s="513"/>
      <c r="F147" s="513"/>
      <c r="G147" s="513"/>
      <c r="H147" s="513"/>
      <c r="I147" s="1619" t="s">
        <v>261</v>
      </c>
      <c r="J147" s="1620"/>
      <c r="K147" s="513"/>
      <c r="L147" s="970"/>
      <c r="M147" s="709" t="str">
        <f>IF(AND(E123&lt;&gt;"",L147=""),EUconst_ERR_Incomplete,IF(COUNTIF(AI147:AL147,TRUE)&gt;0,EUconst_ERR_Inconsistent,""))</f>
        <v/>
      </c>
      <c r="N147" s="142"/>
      <c r="O147" s="733"/>
      <c r="P147" s="644"/>
      <c r="Q147" s="174"/>
      <c r="R147" s="30"/>
      <c r="S147" s="30"/>
      <c r="T147" s="30"/>
      <c r="U147" s="30"/>
      <c r="V147" s="30"/>
      <c r="W147" s="30"/>
      <c r="X147" s="30"/>
      <c r="Y147" s="30"/>
      <c r="Z147" s="30"/>
      <c r="AA147" s="30"/>
      <c r="AB147" s="30"/>
      <c r="AC147" s="30"/>
      <c r="AD147" s="30"/>
      <c r="AE147" s="30"/>
      <c r="AF147" s="30"/>
      <c r="AG147" s="30"/>
      <c r="AH147" s="30"/>
      <c r="AI147" s="30"/>
      <c r="AJ147" s="30"/>
      <c r="AK147" s="30"/>
      <c r="AL147" s="524"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4" t="b">
        <f>BJ128</f>
        <v>1</v>
      </c>
      <c r="BK147" s="23"/>
    </row>
    <row r="148" spans="1:63" s="1117" customFormat="1" ht="4.5" hidden="1" customHeight="1">
      <c r="A148" s="58"/>
      <c r="B148" s="790"/>
      <c r="C148" s="166"/>
      <c r="D148" s="180"/>
      <c r="E148" s="142"/>
      <c r="F148" s="142"/>
      <c r="G148" s="142"/>
      <c r="H148" s="142"/>
      <c r="I148" s="142"/>
      <c r="J148" s="142"/>
      <c r="K148" s="142"/>
      <c r="L148" s="142"/>
      <c r="M148" s="142"/>
      <c r="N148" s="142"/>
      <c r="O148" s="733"/>
      <c r="P148" s="33"/>
      <c r="Q148" s="174"/>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7" customFormat="1" ht="12.75" hidden="1" customHeight="1" thickBot="1">
      <c r="A149" s="58"/>
      <c r="B149" s="790"/>
      <c r="C149" s="166"/>
      <c r="D149" s="1558" t="str">
        <f>Translations!$B$674</f>
        <v>Pakopos galioja nuo:</v>
      </c>
      <c r="E149" s="1558"/>
      <c r="F149" s="1559"/>
      <c r="G149" s="616"/>
      <c r="H149" s="615" t="str">
        <f>Translations!$B$675</f>
        <v>iki:</v>
      </c>
      <c r="I149" s="616"/>
      <c r="J149" s="142"/>
      <c r="K149" s="142"/>
      <c r="L149" s="142"/>
      <c r="M149" s="142"/>
      <c r="N149" s="142"/>
      <c r="O149" s="733"/>
      <c r="P149" s="33"/>
      <c r="Q149" s="174"/>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4" t="b">
        <f>BJ128</f>
        <v>1</v>
      </c>
      <c r="BK149" s="23"/>
    </row>
    <row r="150" spans="1:63" s="1117" customFormat="1" ht="4.5" hidden="1" customHeight="1">
      <c r="A150" s="30"/>
      <c r="B150" s="572"/>
      <c r="C150" s="142"/>
      <c r="D150" s="180"/>
      <c r="E150" s="142"/>
      <c r="F150" s="142"/>
      <c r="G150" s="142"/>
      <c r="H150" s="142"/>
      <c r="I150" s="142"/>
      <c r="J150" s="142"/>
      <c r="K150" s="142"/>
      <c r="L150" s="142"/>
      <c r="M150" s="142"/>
      <c r="N150" s="142"/>
      <c r="O150" s="573"/>
      <c r="P150" s="497"/>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7" customFormat="1" ht="11.25" hidden="1" customHeight="1" thickBot="1">
      <c r="A151" s="30"/>
      <c r="B151" s="572"/>
      <c r="C151" s="142"/>
      <c r="D151" s="1534" t="str">
        <f>Translations!$B$160</f>
        <v>Pastabos:</v>
      </c>
      <c r="E151" s="1535"/>
      <c r="F151" s="1621"/>
      <c r="G151" s="1621"/>
      <c r="H151" s="1621"/>
      <c r="I151" s="1621"/>
      <c r="J151" s="1621"/>
      <c r="K151" s="1621"/>
      <c r="L151" s="1621"/>
      <c r="M151" s="1621"/>
      <c r="N151" s="1621"/>
      <c r="O151" s="573"/>
      <c r="P151" s="497"/>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4" t="b">
        <f>BJ149</f>
        <v>1</v>
      </c>
      <c r="BK151" s="23"/>
    </row>
    <row r="152" spans="1:63" s="1114" customFormat="1" ht="12.75" hidden="1" customHeight="1" thickBot="1">
      <c r="A152" s="58"/>
      <c r="B152" s="838"/>
      <c r="C152" s="499"/>
      <c r="D152" s="500"/>
      <c r="E152" s="501"/>
      <c r="F152" s="499"/>
      <c r="G152" s="502"/>
      <c r="H152" s="502"/>
      <c r="I152" s="502"/>
      <c r="J152" s="502"/>
      <c r="K152" s="502"/>
      <c r="L152" s="502"/>
      <c r="M152" s="502"/>
      <c r="N152" s="502"/>
      <c r="O152" s="740"/>
      <c r="P152" s="494"/>
      <c r="Q152" s="58"/>
      <c r="R152" s="58"/>
      <c r="S152" s="498"/>
      <c r="T152" s="58"/>
      <c r="U152" s="58"/>
      <c r="V152" s="49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4" customFormat="1" ht="12.75" hidden="1" customHeight="1">
      <c r="A153" s="491"/>
      <c r="B153" s="838"/>
      <c r="C153" s="495"/>
      <c r="D153" s="180"/>
      <c r="E153" s="496"/>
      <c r="F153" s="495"/>
      <c r="G153" s="487"/>
      <c r="H153" s="487"/>
      <c r="I153" s="487"/>
      <c r="J153" s="487"/>
      <c r="K153" s="495"/>
      <c r="L153" s="487"/>
      <c r="M153" s="487"/>
      <c r="N153" s="487"/>
      <c r="O153" s="740"/>
      <c r="P153" s="494"/>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7" customFormat="1" ht="15" hidden="1" customHeight="1" thickBot="1">
      <c r="A154" s="58"/>
      <c r="B154" s="790"/>
      <c r="C154" s="617">
        <f>C122+1</f>
        <v>4</v>
      </c>
      <c r="D154" s="343"/>
      <c r="E154" s="1542"/>
      <c r="F154" s="1543"/>
      <c r="G154" s="1543"/>
      <c r="H154" s="1543"/>
      <c r="I154" s="1543"/>
      <c r="J154" s="1544"/>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7" t="str">
        <f>IF(ISBLANK(E154),"",MATCH(E154,CNTR_SourceStreamNames,0))</f>
        <v/>
      </c>
      <c r="S154" s="618" t="str">
        <f>IF(ISBLANK(E154),"",INDEX(B_InstallationDescription!$D$71:$D$145,MATCH(E154,CNTR_SourceStreamNames,0)))</f>
        <v/>
      </c>
      <c r="T154" s="509" t="s">
        <v>393</v>
      </c>
      <c r="U154" s="686" t="s">
        <v>67</v>
      </c>
      <c r="V154" s="58"/>
      <c r="W154" s="58"/>
      <c r="X154" s="58"/>
      <c r="Y154" s="58"/>
      <c r="Z154" s="58"/>
      <c r="AA154" s="58"/>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3"/>
    </row>
    <row r="155" spans="1:63" s="1117" customFormat="1" ht="15" hidden="1" customHeight="1" thickBot="1">
      <c r="A155" s="58"/>
      <c r="B155" s="790"/>
      <c r="C155" s="166"/>
      <c r="D155" s="166"/>
      <c r="E155" s="1547" t="str">
        <f>IF(E154="","",IF(INDEX(B_InstallationDescription!$E$71:$E$145,MATCH(S154,B_InstallationDescription!$D$71:$D$145,0))&gt;0,INDEX(B_InstallationDescription!$E$71:$E$145,MATCH(S154,B_InstallationDescription!$D$71:$D$145,0)),""))</f>
        <v/>
      </c>
      <c r="F155" s="1548"/>
      <c r="G155" s="1548"/>
      <c r="H155" s="1548"/>
      <c r="I155" s="1548"/>
      <c r="J155" s="1549"/>
      <c r="K155" s="142"/>
      <c r="L155" s="142"/>
      <c r="M155" s="143"/>
      <c r="N155" s="143"/>
      <c r="O155" s="733"/>
      <c r="P155" s="494"/>
      <c r="Q155" s="30"/>
      <c r="R155" s="27" t="s">
        <v>93</v>
      </c>
      <c r="S155" s="30"/>
      <c r="T155" s="578" t="b">
        <v>1</v>
      </c>
      <c r="U155" s="518" t="str">
        <f>IF(E155="","",INDEX(CNTR_PFCMethod,MATCH(E154,CNTR_PFCSourceStreamNames,0)))</f>
        <v/>
      </c>
      <c r="V155" s="30"/>
      <c r="W155" s="494"/>
      <c r="X155" s="30"/>
      <c r="Y155" s="30"/>
      <c r="Z155" s="30"/>
      <c r="AA155" s="30"/>
      <c r="AB155" s="342"/>
      <c r="AC155" s="27" t="s">
        <v>308</v>
      </c>
      <c r="AD155" s="30"/>
      <c r="AE155" s="30"/>
      <c r="AF155" s="30"/>
      <c r="AG155" s="30"/>
      <c r="AH155" s="30"/>
      <c r="AI155" s="27" t="s">
        <v>315</v>
      </c>
      <c r="AJ155" s="30"/>
      <c r="AK155" s="30"/>
      <c r="AL155" s="30"/>
      <c r="AM155" s="30"/>
      <c r="AN155" s="27" t="s">
        <v>219</v>
      </c>
      <c r="AO155" s="30"/>
      <c r="AP155" s="30"/>
      <c r="AQ155" s="30"/>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0"/>
      <c r="BJ155" s="30"/>
      <c r="BK155" s="23"/>
    </row>
    <row r="156" spans="1:63" s="1117" customFormat="1" ht="5.0999999999999996" hidden="1" customHeight="1">
      <c r="A156" s="58"/>
      <c r="B156" s="790"/>
      <c r="C156" s="166"/>
      <c r="D156" s="166"/>
      <c r="E156" s="166"/>
      <c r="F156" s="166"/>
      <c r="G156" s="166"/>
      <c r="H156" s="142"/>
      <c r="I156" s="142"/>
      <c r="J156" s="142"/>
      <c r="K156" s="142"/>
      <c r="L156" s="142"/>
      <c r="M156" s="143"/>
      <c r="N156" s="143"/>
      <c r="O156" s="733"/>
      <c r="P156" s="33"/>
      <c r="Q156" s="30"/>
      <c r="R156" s="489"/>
      <c r="S156" s="30"/>
      <c r="T156" s="30"/>
      <c r="U156" s="30"/>
      <c r="V156" s="30"/>
      <c r="W156" s="494"/>
      <c r="X156" s="30"/>
      <c r="Y156" s="30"/>
      <c r="Z156" s="30"/>
      <c r="AA156" s="30"/>
      <c r="AB156" s="342"/>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7" customFormat="1" ht="12.75" hidden="1" customHeight="1">
      <c r="A157" s="58"/>
      <c r="B157" s="790"/>
      <c r="C157" s="166"/>
      <c r="D157" s="166"/>
      <c r="E157" s="1550" t="str">
        <f>IF(E154="","",HYPERLINK("#JUMP_14",EUconst_FurtherGuidancePoint1))</f>
        <v/>
      </c>
      <c r="F157" s="1550"/>
      <c r="G157" s="1550"/>
      <c r="H157" s="1550"/>
      <c r="I157" s="1550"/>
      <c r="J157" s="1550"/>
      <c r="K157" s="1550"/>
      <c r="L157" s="1550"/>
      <c r="M157" s="143"/>
      <c r="N157" s="143"/>
      <c r="O157" s="733"/>
      <c r="P157" s="33"/>
      <c r="Q157" s="30"/>
      <c r="R157" s="489"/>
      <c r="S157" s="30"/>
      <c r="T157" s="30"/>
      <c r="U157" s="30"/>
      <c r="V157" s="30"/>
      <c r="W157" s="494"/>
      <c r="X157" s="30"/>
      <c r="Y157" s="30"/>
      <c r="Z157" s="30"/>
      <c r="AA157" s="30"/>
      <c r="AB157" s="342"/>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7" customFormat="1" ht="5.0999999999999996" hidden="1" customHeight="1">
      <c r="A158" s="58"/>
      <c r="B158" s="790"/>
      <c r="C158" s="166"/>
      <c r="D158" s="166"/>
      <c r="E158" s="166"/>
      <c r="F158" s="166"/>
      <c r="G158" s="166"/>
      <c r="H158" s="142"/>
      <c r="I158" s="142"/>
      <c r="J158" s="142"/>
      <c r="K158" s="142"/>
      <c r="L158" s="142"/>
      <c r="M158" s="143"/>
      <c r="N158" s="143"/>
      <c r="O158" s="733"/>
      <c r="P158" s="33"/>
      <c r="Q158" s="30"/>
      <c r="R158" s="489"/>
      <c r="S158" s="30"/>
      <c r="T158" s="30"/>
      <c r="U158" s="30"/>
      <c r="V158" s="30"/>
      <c r="W158" s="494"/>
      <c r="X158" s="30"/>
      <c r="Y158" s="30"/>
      <c r="Z158" s="30"/>
      <c r="AA158" s="30"/>
      <c r="AB158" s="342"/>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7" customFormat="1" ht="12.75" hidden="1" customHeight="1" thickBot="1">
      <c r="A159" s="58"/>
      <c r="B159" s="790"/>
      <c r="C159" s="166"/>
      <c r="D159" s="166"/>
      <c r="E159" s="166"/>
      <c r="F159" s="506" t="str">
        <f>Translations!$B$333</f>
        <v>Pakopa</v>
      </c>
      <c r="G159" s="1557" t="str">
        <f>Translations!$B$672</f>
        <v>pakopos aprašas</v>
      </c>
      <c r="H159" s="1557"/>
      <c r="I159" s="1555" t="str">
        <f>Translations!$B$158</f>
        <v>Vienetas</v>
      </c>
      <c r="J159" s="1555"/>
      <c r="K159" s="1555" t="str">
        <f>Translations!$B$673</f>
        <v>Vertė</v>
      </c>
      <c r="L159" s="1555"/>
      <c r="M159" s="507" t="str">
        <f>Translations!$B$610</f>
        <v>klaida</v>
      </c>
      <c r="N159" s="142"/>
      <c r="O159" s="733"/>
      <c r="P159" s="508"/>
      <c r="Q159" s="30"/>
      <c r="R159" s="489"/>
      <c r="S159" s="30"/>
      <c r="T159" s="509" t="s">
        <v>303</v>
      </c>
      <c r="U159" s="30"/>
      <c r="V159" s="30"/>
      <c r="W159" s="494" t="s">
        <v>566</v>
      </c>
      <c r="X159" s="494" t="s">
        <v>318</v>
      </c>
      <c r="Y159" s="30"/>
      <c r="Z159" s="30"/>
      <c r="AA159" s="505" t="s">
        <v>309</v>
      </c>
      <c r="AB159" s="342"/>
      <c r="AC159" s="492" t="s">
        <v>306</v>
      </c>
      <c r="AD159" s="504" t="s">
        <v>569</v>
      </c>
      <c r="AE159" s="504" t="s">
        <v>568</v>
      </c>
      <c r="AF159" s="510"/>
      <c r="AG159" s="510"/>
      <c r="AH159" s="30"/>
      <c r="AI159" s="492"/>
      <c r="AJ159" s="492"/>
      <c r="AK159" s="492"/>
      <c r="AL159" s="492"/>
      <c r="AM159" s="492"/>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3" t="s">
        <v>262</v>
      </c>
      <c r="BK159" s="23"/>
    </row>
    <row r="160" spans="1:63" s="1117" customFormat="1" ht="12.75" hidden="1" customHeight="1" thickBot="1">
      <c r="A160" s="58"/>
      <c r="B160" s="790"/>
      <c r="C160" s="814" t="s">
        <v>4</v>
      </c>
      <c r="D160" s="512" t="str">
        <f>Translations!$B$622</f>
        <v>VD:</v>
      </c>
      <c r="E160" s="513"/>
      <c r="F160" s="402"/>
      <c r="G160" s="1532" t="str">
        <f>IF(OR(ISBLANK(F160),F160=EUconst_NoTier),"",IF(X160=0,EUconst_NA,IF(ISERROR(X160),"",X160)))</f>
        <v/>
      </c>
      <c r="H160" s="1533"/>
      <c r="I160" s="1619" t="str">
        <f>EUconst_t</f>
        <v>t</v>
      </c>
      <c r="J160" s="1620"/>
      <c r="K160" s="1630"/>
      <c r="L160" s="1631"/>
      <c r="M160" s="709" t="str">
        <f>IF(AND(E155&lt;&gt;"",OR(F160="",K160=""),W160&lt;&gt;EUconst_NA),EUconst_ERR_Incomplete,IF(COUNTIF(AI160:AL160,TRUE)&gt;0,EUconst_ERR_Inconsistent,""))</f>
        <v/>
      </c>
      <c r="N160" s="142"/>
      <c r="O160" s="733"/>
      <c r="P160" s="644"/>
      <c r="Q160" s="30"/>
      <c r="R160" s="514" t="str">
        <f>EUconst_CNTR_ActivityData&amp;E155</f>
        <v>ActivityData_</v>
      </c>
      <c r="S160" s="497"/>
      <c r="T160" s="514" t="str">
        <f>IF(E154="","",INDEX(B_InstallationDescription!$I$71:$I$145,MATCH(S154,B_InstallationDescription!$D$71:$D$145,0)))</f>
        <v/>
      </c>
      <c r="U160" s="30"/>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0"/>
      <c r="AE160" s="518">
        <f>IF(W160=EUconst_NA,1,IF(COUNT(K160:L160)=0,0,IF(L160="",K160,L160)))</f>
        <v>0</v>
      </c>
      <c r="AF160" s="510" t="s">
        <v>311</v>
      </c>
      <c r="AG160" s="510"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4" t="b">
        <f>OR(CNTR_PFCRelevant=EUconst_NotRelevant,AND(COUNTA(CNTR_ListRelevantSections)&gt;0,E154=""))</f>
        <v>1</v>
      </c>
      <c r="BK160" s="23"/>
    </row>
    <row r="161" spans="1:63" s="1117" customFormat="1" ht="4.5" hidden="1" customHeight="1">
      <c r="A161" s="58"/>
      <c r="B161" s="790"/>
      <c r="C161" s="814"/>
      <c r="D161" s="306"/>
      <c r="E161" s="142"/>
      <c r="F161" s="143"/>
      <c r="G161" s="143"/>
      <c r="H161" s="143" t="s">
        <v>236</v>
      </c>
      <c r="I161" s="525"/>
      <c r="J161" s="525"/>
      <c r="K161" s="143"/>
      <c r="L161" s="143"/>
      <c r="M161" s="710"/>
      <c r="N161" s="142"/>
      <c r="O161" s="733"/>
      <c r="P161" s="33"/>
      <c r="Q161" s="30"/>
      <c r="R161" s="155"/>
      <c r="S161" s="497"/>
      <c r="T161" s="30"/>
      <c r="U161" s="30"/>
      <c r="V161" s="497"/>
      <c r="W161" s="526"/>
      <c r="X161" s="30"/>
      <c r="Y161" s="30"/>
      <c r="Z161" s="30"/>
      <c r="AA161" s="30"/>
      <c r="AB161" s="342"/>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3"/>
      <c r="BK161" s="23"/>
    </row>
    <row r="162" spans="1:63" s="1117" customFormat="1" ht="12.75" hidden="1" customHeight="1">
      <c r="A162" s="58"/>
      <c r="B162" s="790"/>
      <c r="C162" s="814" t="s">
        <v>5</v>
      </c>
      <c r="D162" s="512" t="str">
        <f>Translations!$B$722</f>
        <v>A. Dažnis</v>
      </c>
      <c r="E162" s="513"/>
      <c r="F162" s="527"/>
      <c r="G162" s="1532" t="str">
        <f t="shared" ref="G162:G168" si="20">IF(OR(ISBLANK(F162),F162=EUconst_NoTier),"",IF(X162=0,EUconst_NotApplicable,IF(ISERROR(X162),"",X162)))</f>
        <v/>
      </c>
      <c r="H162" s="1556"/>
      <c r="I162" s="1624" t="str">
        <f>IF(W162=EUconst_NA,"",INDEX(PFCUnits,1))</f>
        <v>1/(vienoje elektrolizės vonioje per parą)</v>
      </c>
      <c r="J162" s="1625"/>
      <c r="K162" s="678" t="str">
        <f t="shared" ref="K162:K168" si="21">IF(L162="",AD162,"")</f>
        <v/>
      </c>
      <c r="L162" s="694"/>
      <c r="M162" s="709" t="str">
        <f>IF(AND(E155&lt;&gt;"",OR(F162="",L162=""),W162&lt;&gt;EUconst_NA),EUconst_ERR_Incomplete,IF(COUNTIF(AI162:AL162,TRUE)&gt;0,EUconst_ERR_Inconsistent,""))</f>
        <v/>
      </c>
      <c r="N162" s="495"/>
      <c r="O162" s="733"/>
      <c r="P162" s="33"/>
      <c r="Q162" s="30"/>
      <c r="R162" s="530" t="str">
        <f>R160</f>
        <v>ActivityData_</v>
      </c>
      <c r="S162" s="497"/>
      <c r="T162" s="657" t="str">
        <f>T160</f>
        <v/>
      </c>
      <c r="U162" s="30"/>
      <c r="V162" s="497">
        <v>1</v>
      </c>
      <c r="W162" s="672" t="str">
        <f>IF(E155="","",IF(U155&lt;&gt;V162,EUconst_NA,INDEX(EUwideConstants!$N:$N,MATCH(R162,EUwideConstants!$Q:$Q,0))))</f>
        <v/>
      </c>
      <c r="X162" s="533" t="str">
        <f>IF(ISBLANK(F162),"",IF(F162=EUconst_NA,"",INDEX(EUwideConstants!$H:$M,MATCH(R162,EUwideConstants!$Q:$Q,0),MATCH(F162,CNTR_TierList,0))))</f>
        <v/>
      </c>
      <c r="Y162" s="30"/>
      <c r="Z162" s="30"/>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0"/>
      <c r="AI162" s="30"/>
      <c r="AJ162" s="30"/>
      <c r="AK162" s="534" t="b">
        <f t="shared" ref="AK162:AK168" si="24">AND(L162&lt;&gt;"",W162=EUconst_NA)</f>
        <v>0</v>
      </c>
      <c r="AL162" s="30"/>
      <c r="AM162" s="30"/>
      <c r="AN162" s="30"/>
      <c r="AO162" s="493" t="s">
        <v>390</v>
      </c>
      <c r="AP162" s="493" t="s">
        <v>391</v>
      </c>
      <c r="AQ162" s="30"/>
      <c r="AR162" s="30"/>
      <c r="AS162" s="30"/>
      <c r="AT162" s="30"/>
      <c r="AU162" s="30"/>
      <c r="AV162" s="30"/>
      <c r="AW162" s="30"/>
      <c r="AX162" s="30"/>
      <c r="AY162" s="30"/>
      <c r="AZ162" s="30"/>
      <c r="BA162" s="30"/>
      <c r="BB162" s="30"/>
      <c r="BC162" s="30"/>
      <c r="BD162" s="30"/>
      <c r="BE162" s="30"/>
      <c r="BF162" s="30"/>
      <c r="BG162" s="30"/>
      <c r="BH162" s="30"/>
      <c r="BI162" s="30"/>
      <c r="BJ162" s="534" t="b">
        <f>OR(BJ160,W162=EUconst_NA)</f>
        <v>1</v>
      </c>
      <c r="BK162" s="23"/>
    </row>
    <row r="163" spans="1:63" s="1117" customFormat="1" ht="12.75" hidden="1" customHeight="1" thickBot="1">
      <c r="A163" s="58"/>
      <c r="B163" s="790"/>
      <c r="C163" s="814" t="s">
        <v>196</v>
      </c>
      <c r="D163" s="512" t="str">
        <f>Translations!$B$724</f>
        <v>A. Trukmė</v>
      </c>
      <c r="E163" s="513"/>
      <c r="F163" s="645"/>
      <c r="G163" s="1532" t="str">
        <f t="shared" si="20"/>
        <v/>
      </c>
      <c r="H163" s="1556"/>
      <c r="I163" s="1626" t="str">
        <f>IF(W163=EUconst_NA,"",INDEX(PFCUnits,2))</f>
        <v>min.</v>
      </c>
      <c r="J163" s="1627"/>
      <c r="K163" s="679" t="str">
        <f t="shared" si="21"/>
        <v/>
      </c>
      <c r="L163" s="695"/>
      <c r="M163" s="709" t="str">
        <f>IF(AND(E155&lt;&gt;"",OR(F163="",L163=""),W163&lt;&gt;EUconst_NA),EUconst_ERR_Incomplete,IF(COUNTIF(AI163:AL163,TRUE)&gt;0,EUconst_ERR_Inconsistent,""))</f>
        <v/>
      </c>
      <c r="N163" s="495"/>
      <c r="O163" s="733"/>
      <c r="P163" s="33"/>
      <c r="Q163" s="30"/>
      <c r="R163" s="552" t="str">
        <f>R162</f>
        <v>ActivityData_</v>
      </c>
      <c r="S163" s="497"/>
      <c r="T163" s="658" t="str">
        <f t="shared" ref="T163:T168" si="25">T162</f>
        <v/>
      </c>
      <c r="U163" s="30"/>
      <c r="V163" s="497">
        <v>1</v>
      </c>
      <c r="W163" s="671" t="str">
        <f>IF(E155="","",IF(U155&lt;&gt;V163,EUconst_NA,INDEX(EUwideConstants!$N:$N,MATCH(R163,EUwideConstants!$Q:$Q,0))))</f>
        <v/>
      </c>
      <c r="X163" s="555" t="str">
        <f>IF(ISBLANK(F163),"",IF(F163=EUconst_NA,"",INDEX(EUwideConstants!$H:$M,MATCH(R163,EUwideConstants!$Q:$Q,0),MATCH(F163,CNTR_TierList,0))))</f>
        <v/>
      </c>
      <c r="Y163" s="30"/>
      <c r="Z163" s="30"/>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0"/>
      <c r="AI163" s="30"/>
      <c r="AJ163" s="30"/>
      <c r="AK163" s="660" t="b">
        <f t="shared" si="24"/>
        <v>0</v>
      </c>
      <c r="AL163" s="30"/>
      <c r="AM163" s="30"/>
      <c r="AN163" s="547" t="s">
        <v>446</v>
      </c>
      <c r="AO163" s="546" t="str">
        <f>IF(ISNUMBER(U155),AE160*AE162*AE163*AE164/1000,"")</f>
        <v/>
      </c>
      <c r="AP163" s="524"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60" t="b">
        <f>OR(BJ160,W163=EUconst_NA)</f>
        <v>1</v>
      </c>
      <c r="BK163" s="23"/>
    </row>
    <row r="164" spans="1:63" s="1117" customFormat="1" ht="12.75" hidden="1" customHeight="1" thickBot="1">
      <c r="A164" s="58"/>
      <c r="B164" s="790"/>
      <c r="C164" s="814" t="s">
        <v>197</v>
      </c>
      <c r="D164" s="652" t="str">
        <f>Translations!$B$726</f>
        <v>A. NITF(CF4)</v>
      </c>
      <c r="E164" s="653"/>
      <c r="F164" s="548"/>
      <c r="G164" s="1628" t="str">
        <f t="shared" si="20"/>
        <v/>
      </c>
      <c r="H164" s="1629"/>
      <c r="I164" s="1626" t="str">
        <f>IF(W164=EUconst_NA,"",INDEX(PFCUnits,3))</f>
        <v>(kg CF4/t Al)/(min./vienoje elektrolizės vonioje per parą)</v>
      </c>
      <c r="J164" s="1627"/>
      <c r="K164" s="680" t="str">
        <f t="shared" si="21"/>
        <v/>
      </c>
      <c r="L164" s="683"/>
      <c r="M164" s="711" t="str">
        <f>IF(AND(E155&lt;&gt;"",OR(F164="",COUNT(K164:L164)=0),W164&lt;&gt;EUconst_NA),EUconst_ERR_Incomplete,IF(COUNTIF(AI164:AL164,TRUE)&gt;0,EUconst_ERR_Inconsistent,""))</f>
        <v/>
      </c>
      <c r="N164" s="142"/>
      <c r="O164" s="733"/>
      <c r="P164" s="33"/>
      <c r="Q164" s="30"/>
      <c r="R164" s="552" t="str">
        <f>EUconst_CNTR_EF&amp;$E155</f>
        <v>EF_</v>
      </c>
      <c r="S164" s="497"/>
      <c r="T164" s="658" t="str">
        <f t="shared" si="25"/>
        <v/>
      </c>
      <c r="U164" s="30"/>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0"/>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0"/>
      <c r="AI164" s="30"/>
      <c r="AJ164" s="30"/>
      <c r="AK164" s="660" t="b">
        <f t="shared" si="24"/>
        <v>0</v>
      </c>
      <c r="AL164" s="30"/>
      <c r="AM164" s="30"/>
      <c r="AN164" s="547" t="s">
        <v>447</v>
      </c>
      <c r="AO164" s="546">
        <f>IF(AND(ISNUMBER(AO163),AO163&gt;0),AO163*AE168,0)</f>
        <v>0</v>
      </c>
      <c r="AP164" s="524">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60" t="b">
        <f>OR(BJ160,W164=EUconst_NA)</f>
        <v>1</v>
      </c>
      <c r="BK164" s="23"/>
    </row>
    <row r="165" spans="1:63" s="1117" customFormat="1" ht="12.75" hidden="1" customHeight="1" thickBot="1">
      <c r="A165" s="58"/>
      <c r="B165" s="790"/>
      <c r="C165" s="814" t="s">
        <v>198</v>
      </c>
      <c r="D165" s="650" t="str">
        <f>Translations!$B$728</f>
        <v>B. AEV</v>
      </c>
      <c r="E165" s="651"/>
      <c r="F165" s="645"/>
      <c r="G165" s="1622" t="str">
        <f t="shared" si="20"/>
        <v/>
      </c>
      <c r="H165" s="1623"/>
      <c r="I165" s="1626" t="str">
        <f>IF(W165=EUconst_NA,"",INDEX(PFCUnits,4))</f>
        <v>mV</v>
      </c>
      <c r="J165" s="1627"/>
      <c r="K165" s="679" t="str">
        <f t="shared" si="21"/>
        <v/>
      </c>
      <c r="L165" s="695"/>
      <c r="M165" s="712" t="str">
        <f>IF(AND(E155&lt;&gt;"",OR(F165="",L165=""),W165&lt;&gt;EUconst_NA),EUconst_ERR_Incomplete,IF(COUNTIF(AI165:AL165,TRUE)&gt;0,EUconst_ERR_Inconsistent,""))</f>
        <v/>
      </c>
      <c r="N165" s="142"/>
      <c r="O165" s="733"/>
      <c r="P165" s="644"/>
      <c r="Q165" s="30"/>
      <c r="R165" s="552" t="str">
        <f>R160</f>
        <v>ActivityData_</v>
      </c>
      <c r="S165" s="497"/>
      <c r="T165" s="658" t="str">
        <f t="shared" si="25"/>
        <v/>
      </c>
      <c r="U165" s="30"/>
      <c r="V165" s="497">
        <v>2</v>
      </c>
      <c r="W165" s="671" t="str">
        <f>IF(E155="","",IF(U155&lt;&gt;V165,EUconst_NA,INDEX(EUwideConstants!$N:$N,MATCH(R165,EUwideConstants!$Q:$Q,0))))</f>
        <v/>
      </c>
      <c r="X165" s="555" t="str">
        <f>IF(ISBLANK(F165),"",IF(F165=EUconst_NA,"",INDEX(EUwideConstants!$H:$M,MATCH(R165,EUwideConstants!$Q:$Q,0),MATCH(F165,CNTR_TierList,0))))</f>
        <v/>
      </c>
      <c r="Y165" s="30"/>
      <c r="Z165" s="30"/>
      <c r="AA165" s="557" t="b">
        <f>AND(AA160,W165&lt;&gt;EUconst_NA)</f>
        <v>0</v>
      </c>
      <c r="AB165" s="342"/>
      <c r="AC165" s="676"/>
      <c r="AD165" s="676" t="str">
        <f>""</f>
        <v/>
      </c>
      <c r="AE165" s="660">
        <f t="shared" si="22"/>
        <v>0</v>
      </c>
      <c r="AF165" s="660" t="b">
        <f>AND(AA165=TRUE,OR(ISNUMBER(L165),NOT(ISNUMBER(Y165))))</f>
        <v>0</v>
      </c>
      <c r="AG165" s="660" t="b">
        <f t="shared" si="23"/>
        <v>0</v>
      </c>
      <c r="AH165" s="30"/>
      <c r="AI165" s="30"/>
      <c r="AJ165" s="30"/>
      <c r="AK165" s="660" t="b">
        <f t="shared" si="24"/>
        <v>0</v>
      </c>
      <c r="AL165" s="30"/>
      <c r="AM165" s="30"/>
      <c r="AN165" s="547" t="s">
        <v>446</v>
      </c>
      <c r="AO165" s="546" t="str">
        <f>IF(ISNUMBER(AO163),AO163*AE173,"")</f>
        <v/>
      </c>
      <c r="AP165" s="524"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60" t="b">
        <f>OR(BJ160,W165=EUconst_NA)</f>
        <v>1</v>
      </c>
      <c r="BK165" s="23"/>
    </row>
    <row r="166" spans="1:63" s="1117" customFormat="1" ht="12.75" hidden="1" customHeight="1" thickBot="1">
      <c r="A166" s="58"/>
      <c r="B166" s="790"/>
      <c r="C166" s="777" t="s">
        <v>199</v>
      </c>
      <c r="D166" s="512" t="str">
        <f>Translations!$B$730</f>
        <v>B. EN</v>
      </c>
      <c r="E166" s="513"/>
      <c r="F166" s="548"/>
      <c r="G166" s="1532" t="str">
        <f t="shared" si="20"/>
        <v/>
      </c>
      <c r="H166" s="1533"/>
      <c r="I166" s="1626" t="str">
        <f>IF(W166=EUconst_NA,"","-")</f>
        <v>-</v>
      </c>
      <c r="J166" s="1627"/>
      <c r="K166" s="681" t="str">
        <f t="shared" si="21"/>
        <v/>
      </c>
      <c r="L166" s="571"/>
      <c r="M166" s="709" t="str">
        <f>IF(AND(E155&lt;&gt;"",OR(F166="",L166=""),W166&lt;&gt;EUconst_NA),EUconst_ERR_Incomplete,IF(COUNTIF(AI166:AL166,TRUE)&gt;0,EUconst_ERR_Inconsistent,""))</f>
        <v/>
      </c>
      <c r="N166" s="142"/>
      <c r="O166" s="733"/>
      <c r="P166" s="644"/>
      <c r="Q166" s="30"/>
      <c r="R166" s="552" t="str">
        <f>R165</f>
        <v>ActivityData_</v>
      </c>
      <c r="S166" s="497"/>
      <c r="T166" s="658" t="str">
        <f t="shared" si="25"/>
        <v/>
      </c>
      <c r="U166" s="30"/>
      <c r="V166" s="497">
        <v>2</v>
      </c>
      <c r="W166" s="671" t="str">
        <f>IF(E155="","",IF(U155&lt;&gt;V166,EUconst_NA,INDEX(EUwideConstants!$N:$N,MATCH(R166,EUwideConstants!$Q:$Q,0))))</f>
        <v/>
      </c>
      <c r="X166" s="555" t="str">
        <f>IF(ISBLANK(F166),"",IF(F166=EUconst_NA,"",INDEX(EUwideConstants!$H:$M,MATCH(R166,EUwideConstants!$Q:$Q,0),MATCH(F166,CNTR_TierList,0))))</f>
        <v/>
      </c>
      <c r="Y166" s="30"/>
      <c r="Z166" s="30"/>
      <c r="AA166" s="557" t="b">
        <f>AND(AA160,W166&lt;&gt;EUconst_NA)</f>
        <v>0</v>
      </c>
      <c r="AB166" s="342"/>
      <c r="AC166" s="676"/>
      <c r="AD166" s="676" t="str">
        <f>""</f>
        <v/>
      </c>
      <c r="AE166" s="660">
        <f t="shared" si="22"/>
        <v>0</v>
      </c>
      <c r="AF166" s="660" t="b">
        <f>AND(AA166=TRUE,OR(ISNUMBER(L166),NOT(ISNUMBER(Y166))))</f>
        <v>0</v>
      </c>
      <c r="AG166" s="660" t="b">
        <f t="shared" si="23"/>
        <v>0</v>
      </c>
      <c r="AH166" s="30"/>
      <c r="AI166" s="30"/>
      <c r="AJ166" s="30"/>
      <c r="AK166" s="708" t="b">
        <f t="shared" si="24"/>
        <v>0</v>
      </c>
      <c r="AL166" s="524" t="b">
        <f>L166&gt;100%</f>
        <v>0</v>
      </c>
      <c r="AM166" s="30"/>
      <c r="AN166" s="547" t="s">
        <v>447</v>
      </c>
      <c r="AO166" s="546">
        <f>IF(ISNUMBER(AO164),AO164*AE174,"")</f>
        <v>0</v>
      </c>
      <c r="AP166" s="524">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60" t="b">
        <f>OR(BJ160,W166=EUconst_NA)</f>
        <v>1</v>
      </c>
      <c r="BK166" s="23"/>
    </row>
    <row r="167" spans="1:63" s="1117" customFormat="1" ht="12.75" hidden="1" customHeight="1" thickBot="1">
      <c r="A167" s="58"/>
      <c r="B167" s="790"/>
      <c r="C167" s="814" t="s">
        <v>200</v>
      </c>
      <c r="D167" s="652" t="str">
        <f>Translations!$B$732</f>
        <v>B. VĮK</v>
      </c>
      <c r="E167" s="653"/>
      <c r="F167" s="548"/>
      <c r="G167" s="1628" t="str">
        <f t="shared" si="20"/>
        <v/>
      </c>
      <c r="H167" s="1629"/>
      <c r="I167" s="1626" t="str">
        <f>IF(W167=EUconst_NA,"",INDEX(PFCUnits,6))</f>
        <v>(kg CF4)/(t Al mV)</v>
      </c>
      <c r="J167" s="1627"/>
      <c r="K167" s="681" t="str">
        <f t="shared" si="21"/>
        <v/>
      </c>
      <c r="L167" s="684"/>
      <c r="M167" s="711" t="str">
        <f>IF(AND(E155&lt;&gt;"",OR(F167="",COUNT(K167:L167)=0),W167&lt;&gt;EUconst_NA),EUconst_ERR_Incomplete,IF(COUNTIF(AI167:AL167,TRUE)&gt;0,EUconst_ERR_Inconsistent,""))</f>
        <v/>
      </c>
      <c r="N167" s="142"/>
      <c r="O167" s="733"/>
      <c r="P167" s="33"/>
      <c r="Q167" s="30"/>
      <c r="R167" s="552" t="str">
        <f>EUconst_CNTR_EF&amp;E155</f>
        <v>EF_</v>
      </c>
      <c r="S167" s="497"/>
      <c r="T167" s="658" t="str">
        <f t="shared" si="25"/>
        <v/>
      </c>
      <c r="U167" s="30"/>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0"/>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0"/>
      <c r="AI167" s="30"/>
      <c r="AJ167" s="30"/>
      <c r="AK167" s="660"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60" t="b">
        <f>OR(BJ160,W167=EUconst_NA)</f>
        <v>1</v>
      </c>
      <c r="BK167" s="23"/>
    </row>
    <row r="168" spans="1:63" s="1117" customFormat="1" ht="12.75" hidden="1" customHeight="1" thickBot="1">
      <c r="A168" s="58"/>
      <c r="B168" s="790"/>
      <c r="C168" s="814" t="s">
        <v>329</v>
      </c>
      <c r="D168" s="650" t="str">
        <f>Translations!$B$734</f>
        <v>F(C2F6)</v>
      </c>
      <c r="E168" s="651"/>
      <c r="F168" s="597"/>
      <c r="G168" s="1622" t="str">
        <f t="shared" si="20"/>
        <v/>
      </c>
      <c r="H168" s="1623"/>
      <c r="I168" s="1617" t="str">
        <f>IF(W168=EUconst_NA,"",INDEX(PFCUnits,7))</f>
        <v>t C2F6/t CF4</v>
      </c>
      <c r="J168" s="1618"/>
      <c r="K168" s="682" t="str">
        <f t="shared" si="21"/>
        <v/>
      </c>
      <c r="L168" s="685"/>
      <c r="M168" s="712" t="str">
        <f>IF(AND(E155&lt;&gt;"",OR(F168="",COUNT(K168:L168)=0),W168&lt;&gt;EUconst_NA),EUconst_ERR_Incomplete,IF(COUNTIF(AI168:AL168,TRUE)&gt;0,EUconst_ERR_Inconsistent,""))</f>
        <v/>
      </c>
      <c r="N168" s="142"/>
      <c r="O168" s="733"/>
      <c r="P168" s="33"/>
      <c r="Q168" s="30"/>
      <c r="R168" s="599" t="str">
        <f>EUconst_CNTR_EF&amp;E155</f>
        <v>EF_</v>
      </c>
      <c r="S168" s="497"/>
      <c r="T168" s="659" t="str">
        <f t="shared" si="25"/>
        <v/>
      </c>
      <c r="U168" s="30"/>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0"/>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0"/>
      <c r="AI168" s="30"/>
      <c r="AJ168" s="30"/>
      <c r="AK168" s="582"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2" t="b">
        <f>OR(BJ160,W168=EUconst_NA)</f>
        <v>1</v>
      </c>
      <c r="BK168" s="23"/>
    </row>
    <row r="169" spans="1:63" s="1117" customFormat="1" ht="5.0999999999999996" hidden="1" customHeight="1">
      <c r="A169" s="58"/>
      <c r="B169" s="790"/>
      <c r="C169" s="166"/>
      <c r="D169" s="180"/>
      <c r="E169" s="142"/>
      <c r="F169" s="142"/>
      <c r="G169" s="142"/>
      <c r="H169" s="142"/>
      <c r="I169" s="142"/>
      <c r="J169" s="142"/>
      <c r="K169" s="142"/>
      <c r="L169" s="142"/>
      <c r="M169" s="704"/>
      <c r="N169" s="142"/>
      <c r="O169" s="733"/>
      <c r="P169" s="33"/>
      <c r="Q169" s="17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7" customFormat="1" ht="12.75" hidden="1" customHeight="1">
      <c r="A170" s="58"/>
      <c r="B170" s="790"/>
      <c r="C170" s="777" t="s">
        <v>330</v>
      </c>
      <c r="D170" s="646" t="str">
        <f>Translations!$B$748</f>
        <v>Išmestas CF4 kiekis</v>
      </c>
      <c r="E170" s="647"/>
      <c r="F170" s="513"/>
      <c r="G170" s="513"/>
      <c r="H170" s="513"/>
      <c r="I170" s="1624" t="str">
        <f>EUconst_t</f>
        <v>t</v>
      </c>
      <c r="J170" s="1625"/>
      <c r="K170" s="513"/>
      <c r="L170" s="955" t="str">
        <f>IF(ISNUMBER(U155),INDEX(AO163:AP163,U155),"")</f>
        <v/>
      </c>
      <c r="M170" s="704"/>
      <c r="N170" s="142"/>
      <c r="O170" s="733"/>
      <c r="P170" s="33"/>
      <c r="Q170" s="174"/>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7" customFormat="1" ht="12.75" hidden="1" customHeight="1" thickBot="1">
      <c r="A171" s="58"/>
      <c r="B171" s="790"/>
      <c r="C171" s="777" t="s">
        <v>454</v>
      </c>
      <c r="D171" s="646" t="str">
        <f>Translations!$B$749</f>
        <v>Išmestas C2F6 kiekis</v>
      </c>
      <c r="E171" s="513"/>
      <c r="F171" s="513"/>
      <c r="G171" s="513"/>
      <c r="H171" s="513"/>
      <c r="I171" s="1617" t="str">
        <f>EUconst_t</f>
        <v>t</v>
      </c>
      <c r="J171" s="1618"/>
      <c r="K171" s="513"/>
      <c r="L171" s="956" t="str">
        <f>IF(ISNUMBER(U155),INDEX(AO164:AP164,U155),"")</f>
        <v/>
      </c>
      <c r="M171" s="704"/>
      <c r="N171" s="142"/>
      <c r="O171" s="733"/>
      <c r="P171" s="33"/>
      <c r="Q171" s="174"/>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7" customFormat="1" ht="5.0999999999999996" hidden="1" customHeight="1">
      <c r="A172" s="58"/>
      <c r="B172" s="790"/>
      <c r="C172" s="779"/>
      <c r="D172" s="180"/>
      <c r="E172" s="142"/>
      <c r="F172" s="142"/>
      <c r="G172" s="142"/>
      <c r="H172" s="142"/>
      <c r="I172" s="142"/>
      <c r="J172" s="142"/>
      <c r="K172" s="142"/>
      <c r="L172" s="142"/>
      <c r="M172" s="704"/>
      <c r="N172" s="142"/>
      <c r="O172" s="733"/>
      <c r="P172" s="33"/>
      <c r="Q172" s="174"/>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7" customFormat="1" ht="12.75" hidden="1" customHeight="1">
      <c r="A173" s="58"/>
      <c r="B173" s="790"/>
      <c r="C173" s="777" t="s">
        <v>455</v>
      </c>
      <c r="D173" s="646" t="str">
        <f>Translations!$B$736</f>
        <v>VAP(CF4)</v>
      </c>
      <c r="E173" s="647"/>
      <c r="F173" s="513"/>
      <c r="G173" s="513"/>
      <c r="H173" s="513"/>
      <c r="I173" s="1624" t="s">
        <v>444</v>
      </c>
      <c r="J173" s="1625"/>
      <c r="K173" s="648">
        <f>IF(L173="",7390,"")</f>
        <v>7390</v>
      </c>
      <c r="L173" s="968"/>
      <c r="M173" s="704"/>
      <c r="N173" s="142"/>
      <c r="O173" s="733"/>
      <c r="P173" s="644"/>
      <c r="Q173" s="174"/>
      <c r="R173" s="30"/>
      <c r="S173" s="30"/>
      <c r="T173" s="30"/>
      <c r="U173" s="30"/>
      <c r="V173" s="30"/>
      <c r="W173" s="30"/>
      <c r="X173" s="30"/>
      <c r="Y173" s="30"/>
      <c r="Z173" s="30"/>
      <c r="AA173" s="30"/>
      <c r="AB173" s="30"/>
      <c r="AC173" s="30"/>
      <c r="AD173" s="30"/>
      <c r="AE173" s="535">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1" t="b">
        <f>BJ160</f>
        <v>1</v>
      </c>
      <c r="BK173" s="23"/>
    </row>
    <row r="174" spans="1:63" s="1117" customFormat="1" ht="12.75" hidden="1" customHeight="1" thickBot="1">
      <c r="A174" s="58"/>
      <c r="B174" s="790"/>
      <c r="C174" s="777" t="s">
        <v>456</v>
      </c>
      <c r="D174" s="646" t="str">
        <f>Translations!$B$738</f>
        <v>VAP(C2F6)</v>
      </c>
      <c r="E174" s="647"/>
      <c r="F174" s="513"/>
      <c r="G174" s="513"/>
      <c r="H174" s="513"/>
      <c r="I174" s="1617" t="s">
        <v>445</v>
      </c>
      <c r="J174" s="1618"/>
      <c r="K174" s="649">
        <f>IF(L174="",12200,"")</f>
        <v>12200</v>
      </c>
      <c r="L174" s="969"/>
      <c r="M174" s="704"/>
      <c r="N174" s="142"/>
      <c r="O174" s="733"/>
      <c r="P174" s="33"/>
      <c r="Q174" s="174"/>
      <c r="R174" s="30"/>
      <c r="S174" s="30"/>
      <c r="T174" s="30"/>
      <c r="U174" s="30"/>
      <c r="V174" s="30"/>
      <c r="W174" s="30"/>
      <c r="X174" s="30"/>
      <c r="Y174" s="30"/>
      <c r="Z174" s="30"/>
      <c r="AA174" s="30"/>
      <c r="AB174" s="30"/>
      <c r="AC174" s="30"/>
      <c r="AD174" s="30"/>
      <c r="AE174" s="674">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80" t="b">
        <f>BJ173</f>
        <v>1</v>
      </c>
      <c r="BK174" s="23"/>
    </row>
    <row r="175" spans="1:63" s="1117" customFormat="1" ht="4.5" hidden="1" customHeight="1">
      <c r="A175" s="58"/>
      <c r="B175" s="790"/>
      <c r="C175" s="779"/>
      <c r="D175" s="306"/>
      <c r="E175" s="495"/>
      <c r="F175" s="142"/>
      <c r="G175" s="142"/>
      <c r="H175" s="142"/>
      <c r="I175" s="142"/>
      <c r="J175" s="142"/>
      <c r="K175" s="142"/>
      <c r="L175" s="704"/>
      <c r="M175" s="704"/>
      <c r="N175" s="142"/>
      <c r="O175" s="733"/>
      <c r="P175" s="33"/>
      <c r="Q175" s="174"/>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7" customFormat="1" ht="12.75" hidden="1" customHeight="1">
      <c r="A176" s="58"/>
      <c r="B176" s="790"/>
      <c r="C176" s="777" t="s">
        <v>457</v>
      </c>
      <c r="D176" s="646" t="str">
        <f>Translations!$B$748</f>
        <v>Išmestas CF4 kiekis</v>
      </c>
      <c r="E176" s="647"/>
      <c r="F176" s="513"/>
      <c r="G176" s="513"/>
      <c r="H176" s="513"/>
      <c r="I176" s="1624" t="s">
        <v>260</v>
      </c>
      <c r="J176" s="1625"/>
      <c r="K176" s="513"/>
      <c r="L176" s="705" t="str">
        <f>IF(ISNUMBER(U155),INDEX(AO165:AP165,U155),"")</f>
        <v/>
      </c>
      <c r="M176" s="704"/>
      <c r="N176" s="142"/>
      <c r="O176" s="733"/>
      <c r="P176" s="644"/>
      <c r="Q176" s="174"/>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7" customFormat="1" ht="12.75" hidden="1" customHeight="1" thickBot="1">
      <c r="A177" s="58"/>
      <c r="B177" s="790"/>
      <c r="C177" s="777" t="s">
        <v>458</v>
      </c>
      <c r="D177" s="646" t="str">
        <f>Translations!$B$749</f>
        <v>Išmestas C2F6 kiekis</v>
      </c>
      <c r="E177" s="513"/>
      <c r="F177" s="513"/>
      <c r="G177" s="513"/>
      <c r="H177" s="513"/>
      <c r="I177" s="1617" t="s">
        <v>260</v>
      </c>
      <c r="J177" s="1618"/>
      <c r="K177" s="513"/>
      <c r="L177" s="706" t="str">
        <f>IF(ISNUMBER(U155),INDEX(AO166:AP166,U155),"")</f>
        <v/>
      </c>
      <c r="M177" s="704"/>
      <c r="N177" s="142"/>
      <c r="O177" s="733"/>
      <c r="P177" s="33"/>
      <c r="Q177" s="174"/>
      <c r="R177" s="30"/>
      <c r="S177" s="30"/>
      <c r="T177" s="30"/>
      <c r="U177" s="30"/>
      <c r="V177" s="30"/>
      <c r="W177" s="30"/>
      <c r="X177" s="30"/>
      <c r="Y177" s="30"/>
      <c r="Z177" s="30"/>
      <c r="AA177" s="30"/>
      <c r="AB177" s="30"/>
      <c r="AC177" s="30"/>
      <c r="AD177" s="30"/>
      <c r="AE177" s="492"/>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7" customFormat="1" ht="5.0999999999999996" hidden="1" customHeight="1">
      <c r="A178" s="58"/>
      <c r="B178" s="790"/>
      <c r="C178" s="779"/>
      <c r="D178" s="180"/>
      <c r="E178" s="142"/>
      <c r="F178" s="142"/>
      <c r="G178" s="142"/>
      <c r="H178" s="142"/>
      <c r="I178" s="142"/>
      <c r="J178" s="142"/>
      <c r="K178" s="142"/>
      <c r="L178" s="142"/>
      <c r="M178" s="704"/>
      <c r="N178" s="142"/>
      <c r="O178" s="733"/>
      <c r="P178" s="33"/>
      <c r="Q178" s="174"/>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7" customFormat="1" ht="12.75" hidden="1" customHeight="1" thickBot="1">
      <c r="A179" s="58"/>
      <c r="B179" s="790"/>
      <c r="C179" s="777" t="s">
        <v>459</v>
      </c>
      <c r="D179" s="646" t="str">
        <f>Translations!$B$167</f>
        <v>Surinkimo efektyvumas</v>
      </c>
      <c r="E179" s="513"/>
      <c r="F179" s="513"/>
      <c r="G179" s="513"/>
      <c r="H179" s="513"/>
      <c r="I179" s="1619" t="s">
        <v>261</v>
      </c>
      <c r="J179" s="1620"/>
      <c r="K179" s="513"/>
      <c r="L179" s="970"/>
      <c r="M179" s="709" t="str">
        <f>IF(AND(E155&lt;&gt;"",L179=""),EUconst_ERR_Incomplete,IF(COUNTIF(AI179:AL179,TRUE)&gt;0,EUconst_ERR_Inconsistent,""))</f>
        <v/>
      </c>
      <c r="N179" s="142"/>
      <c r="O179" s="733"/>
      <c r="P179" s="644"/>
      <c r="Q179" s="174"/>
      <c r="R179" s="30"/>
      <c r="S179" s="30"/>
      <c r="T179" s="30"/>
      <c r="U179" s="30"/>
      <c r="V179" s="30"/>
      <c r="W179" s="30"/>
      <c r="X179" s="30"/>
      <c r="Y179" s="30"/>
      <c r="Z179" s="30"/>
      <c r="AA179" s="30"/>
      <c r="AB179" s="30"/>
      <c r="AC179" s="30"/>
      <c r="AD179" s="30"/>
      <c r="AE179" s="30"/>
      <c r="AF179" s="30"/>
      <c r="AG179" s="30"/>
      <c r="AH179" s="30"/>
      <c r="AI179" s="30"/>
      <c r="AJ179" s="30"/>
      <c r="AK179" s="30"/>
      <c r="AL179" s="524"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4" t="b">
        <f>BJ160</f>
        <v>1</v>
      </c>
      <c r="BK179" s="23"/>
    </row>
    <row r="180" spans="1:63" s="1117" customFormat="1" ht="5.0999999999999996" hidden="1" customHeight="1">
      <c r="A180" s="58"/>
      <c r="B180" s="790"/>
      <c r="C180" s="166"/>
      <c r="D180" s="180"/>
      <c r="E180" s="142"/>
      <c r="F180" s="142"/>
      <c r="G180" s="142"/>
      <c r="H180" s="142"/>
      <c r="I180" s="142"/>
      <c r="J180" s="142"/>
      <c r="K180" s="142"/>
      <c r="L180" s="142"/>
      <c r="M180" s="142"/>
      <c r="N180" s="142"/>
      <c r="O180" s="733"/>
      <c r="P180" s="33"/>
      <c r="Q180" s="174"/>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7" customFormat="1" ht="12.75" hidden="1" customHeight="1" thickBot="1">
      <c r="A181" s="58"/>
      <c r="B181" s="790"/>
      <c r="C181" s="166"/>
      <c r="D181" s="1558" t="str">
        <f>Translations!$B$674</f>
        <v>Pakopos galioja nuo:</v>
      </c>
      <c r="E181" s="1558"/>
      <c r="F181" s="1559"/>
      <c r="G181" s="616"/>
      <c r="H181" s="615" t="str">
        <f>Translations!$B$675</f>
        <v>iki:</v>
      </c>
      <c r="I181" s="616"/>
      <c r="J181" s="142"/>
      <c r="K181" s="142"/>
      <c r="L181" s="142"/>
      <c r="M181" s="142"/>
      <c r="N181" s="142"/>
      <c r="O181" s="733"/>
      <c r="P181" s="33"/>
      <c r="Q181" s="174"/>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4" t="b">
        <f>BJ160</f>
        <v>1</v>
      </c>
      <c r="BK181" s="23"/>
    </row>
    <row r="182" spans="1:63" s="1117" customFormat="1" ht="5.0999999999999996" hidden="1" customHeight="1">
      <c r="A182" s="30"/>
      <c r="B182" s="572"/>
      <c r="C182" s="142"/>
      <c r="D182" s="180"/>
      <c r="E182" s="142"/>
      <c r="F182" s="142"/>
      <c r="G182" s="142"/>
      <c r="H182" s="142"/>
      <c r="I182" s="142"/>
      <c r="J182" s="142"/>
      <c r="K182" s="142"/>
      <c r="L182" s="142"/>
      <c r="M182" s="142"/>
      <c r="N182" s="142"/>
      <c r="O182" s="573"/>
      <c r="P182" s="497"/>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7" customFormat="1" ht="12.75" hidden="1" customHeight="1" thickBot="1">
      <c r="A183" s="30"/>
      <c r="B183" s="572"/>
      <c r="C183" s="142"/>
      <c r="D183" s="1534" t="str">
        <f>Translations!$B$160</f>
        <v>Pastabos:</v>
      </c>
      <c r="E183" s="1535"/>
      <c r="F183" s="1621"/>
      <c r="G183" s="1621"/>
      <c r="H183" s="1621"/>
      <c r="I183" s="1621"/>
      <c r="J183" s="1621"/>
      <c r="K183" s="1621"/>
      <c r="L183" s="1621"/>
      <c r="M183" s="1621"/>
      <c r="N183" s="1621"/>
      <c r="O183" s="573"/>
      <c r="P183" s="497"/>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4" t="b">
        <f>BJ181</f>
        <v>1</v>
      </c>
      <c r="BK183" s="23"/>
    </row>
    <row r="184" spans="1:63" s="1114" customFormat="1" ht="12.75" hidden="1" customHeight="1" thickBot="1">
      <c r="A184" s="58"/>
      <c r="B184" s="838"/>
      <c r="C184" s="499"/>
      <c r="D184" s="500"/>
      <c r="E184" s="501"/>
      <c r="F184" s="499"/>
      <c r="G184" s="502"/>
      <c r="H184" s="502"/>
      <c r="I184" s="502"/>
      <c r="J184" s="502"/>
      <c r="K184" s="502"/>
      <c r="L184" s="502"/>
      <c r="M184" s="502"/>
      <c r="N184" s="502"/>
      <c r="O184" s="740"/>
      <c r="P184" s="494"/>
      <c r="Q184" s="58"/>
      <c r="R184" s="58"/>
      <c r="S184" s="498"/>
      <c r="T184" s="58"/>
      <c r="U184" s="58"/>
      <c r="V184" s="49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4" customFormat="1" ht="12.75" hidden="1" customHeight="1">
      <c r="A185" s="491"/>
      <c r="B185" s="838"/>
      <c r="C185" s="495"/>
      <c r="D185" s="180"/>
      <c r="E185" s="496"/>
      <c r="F185" s="495"/>
      <c r="G185" s="487"/>
      <c r="H185" s="487"/>
      <c r="I185" s="487"/>
      <c r="J185" s="487"/>
      <c r="K185" s="495"/>
      <c r="L185" s="487"/>
      <c r="M185" s="487"/>
      <c r="N185" s="487"/>
      <c r="O185" s="740"/>
      <c r="P185" s="494"/>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7" customFormat="1" ht="15" hidden="1" customHeight="1" thickBot="1">
      <c r="A186" s="58"/>
      <c r="B186" s="790"/>
      <c r="C186" s="617">
        <f>C154+1</f>
        <v>5</v>
      </c>
      <c r="D186" s="343"/>
      <c r="E186" s="1542"/>
      <c r="F186" s="1543"/>
      <c r="G186" s="1543"/>
      <c r="H186" s="1543"/>
      <c r="I186" s="1543"/>
      <c r="J186" s="1544"/>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7" t="str">
        <f>IF(ISBLANK(E186),"",MATCH(E186,CNTR_SourceStreamNames,0))</f>
        <v/>
      </c>
      <c r="S186" s="618" t="str">
        <f>IF(ISBLANK(E186),"",INDEX(B_InstallationDescription!$D$71:$D$145,MATCH(E186,CNTR_SourceStreamNames,0)))</f>
        <v/>
      </c>
      <c r="T186" s="509" t="s">
        <v>393</v>
      </c>
      <c r="U186" s="686" t="s">
        <v>67</v>
      </c>
      <c r="V186" s="58"/>
      <c r="W186" s="58"/>
      <c r="X186" s="58"/>
      <c r="Y186" s="58"/>
      <c r="Z186" s="58"/>
      <c r="AA186" s="58"/>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3"/>
    </row>
    <row r="187" spans="1:63" s="1117" customFormat="1" ht="15" hidden="1" customHeight="1" thickBot="1">
      <c r="A187" s="58"/>
      <c r="B187" s="790"/>
      <c r="C187" s="166"/>
      <c r="D187" s="166"/>
      <c r="E187" s="1547" t="str">
        <f>IF(E186="","",IF(INDEX(B_InstallationDescription!$E$71:$E$145,MATCH(S186,B_InstallationDescription!$D$71:$D$145,0))&gt;0,INDEX(B_InstallationDescription!$E$71:$E$145,MATCH(S186,B_InstallationDescription!$D$71:$D$145,0)),""))</f>
        <v/>
      </c>
      <c r="F187" s="1548"/>
      <c r="G187" s="1548"/>
      <c r="H187" s="1548"/>
      <c r="I187" s="1548"/>
      <c r="J187" s="1549"/>
      <c r="K187" s="142"/>
      <c r="L187" s="142"/>
      <c r="M187" s="143"/>
      <c r="N187" s="143"/>
      <c r="O187" s="733"/>
      <c r="P187" s="494"/>
      <c r="Q187" s="30"/>
      <c r="R187" s="27" t="s">
        <v>93</v>
      </c>
      <c r="S187" s="30"/>
      <c r="T187" s="578" t="b">
        <v>1</v>
      </c>
      <c r="U187" s="518" t="str">
        <f>IF(E187="","",INDEX(CNTR_PFCMethod,MATCH(E186,CNTR_PFCSourceStreamNames,0)))</f>
        <v/>
      </c>
      <c r="V187" s="30"/>
      <c r="W187" s="494"/>
      <c r="X187" s="30"/>
      <c r="Y187" s="30"/>
      <c r="Z187" s="30"/>
      <c r="AA187" s="30"/>
      <c r="AB187" s="342"/>
      <c r="AC187" s="27" t="s">
        <v>308</v>
      </c>
      <c r="AD187" s="30"/>
      <c r="AE187" s="30"/>
      <c r="AF187" s="30"/>
      <c r="AG187" s="30"/>
      <c r="AH187" s="30"/>
      <c r="AI187" s="27" t="s">
        <v>315</v>
      </c>
      <c r="AJ187" s="30"/>
      <c r="AK187" s="30"/>
      <c r="AL187" s="30"/>
      <c r="AM187" s="30"/>
      <c r="AN187" s="27" t="s">
        <v>219</v>
      </c>
      <c r="AO187" s="30"/>
      <c r="AP187" s="30"/>
      <c r="AQ187" s="30"/>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0"/>
      <c r="BJ187" s="30"/>
      <c r="BK187" s="23"/>
    </row>
    <row r="188" spans="1:63" s="1117" customFormat="1" ht="5.0999999999999996" hidden="1" customHeight="1">
      <c r="A188" s="58"/>
      <c r="B188" s="790"/>
      <c r="C188" s="166"/>
      <c r="D188" s="166"/>
      <c r="E188" s="166"/>
      <c r="F188" s="166"/>
      <c r="G188" s="166"/>
      <c r="H188" s="142"/>
      <c r="I188" s="142"/>
      <c r="J188" s="142"/>
      <c r="K188" s="142"/>
      <c r="L188" s="142"/>
      <c r="M188" s="143"/>
      <c r="N188" s="143"/>
      <c r="O188" s="733"/>
      <c r="P188" s="33"/>
      <c r="Q188" s="30"/>
      <c r="R188" s="489"/>
      <c r="S188" s="30"/>
      <c r="T188" s="30"/>
      <c r="U188" s="30"/>
      <c r="V188" s="30"/>
      <c r="W188" s="494"/>
      <c r="X188" s="30"/>
      <c r="Y188" s="30"/>
      <c r="Z188" s="30"/>
      <c r="AA188" s="30"/>
      <c r="AB188" s="342"/>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7" customFormat="1" ht="12.75" hidden="1" customHeight="1">
      <c r="A189" s="58"/>
      <c r="B189" s="790"/>
      <c r="C189" s="166"/>
      <c r="D189" s="166"/>
      <c r="E189" s="1550" t="str">
        <f>IF(E186="","",HYPERLINK("#JUMP_14",EUconst_FurtherGuidancePoint1))</f>
        <v/>
      </c>
      <c r="F189" s="1550"/>
      <c r="G189" s="1550"/>
      <c r="H189" s="1550"/>
      <c r="I189" s="1550"/>
      <c r="J189" s="1550"/>
      <c r="K189" s="1550"/>
      <c r="L189" s="1550"/>
      <c r="M189" s="143"/>
      <c r="N189" s="143"/>
      <c r="O189" s="733"/>
      <c r="P189" s="33"/>
      <c r="Q189" s="30"/>
      <c r="R189" s="489"/>
      <c r="S189" s="30"/>
      <c r="T189" s="30"/>
      <c r="U189" s="30"/>
      <c r="V189" s="30"/>
      <c r="W189" s="494"/>
      <c r="X189" s="30"/>
      <c r="Y189" s="30"/>
      <c r="Z189" s="30"/>
      <c r="AA189" s="30"/>
      <c r="AB189" s="342"/>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7" customFormat="1" ht="5.0999999999999996" hidden="1" customHeight="1">
      <c r="A190" s="58"/>
      <c r="B190" s="790"/>
      <c r="C190" s="166"/>
      <c r="D190" s="166"/>
      <c r="E190" s="166"/>
      <c r="F190" s="166"/>
      <c r="G190" s="166"/>
      <c r="H190" s="142"/>
      <c r="I190" s="142"/>
      <c r="J190" s="142"/>
      <c r="K190" s="142"/>
      <c r="L190" s="142"/>
      <c r="M190" s="143"/>
      <c r="N190" s="143"/>
      <c r="O190" s="733"/>
      <c r="P190" s="33"/>
      <c r="Q190" s="30"/>
      <c r="R190" s="489"/>
      <c r="S190" s="30"/>
      <c r="T190" s="30"/>
      <c r="U190" s="30"/>
      <c r="V190" s="30"/>
      <c r="W190" s="494"/>
      <c r="X190" s="30"/>
      <c r="Y190" s="30"/>
      <c r="Z190" s="30"/>
      <c r="AA190" s="30"/>
      <c r="AB190" s="342"/>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7" customFormat="1" ht="12.75" hidden="1" customHeight="1" thickBot="1">
      <c r="A191" s="58"/>
      <c r="B191" s="790"/>
      <c r="C191" s="166"/>
      <c r="D191" s="166"/>
      <c r="E191" s="166"/>
      <c r="F191" s="506" t="str">
        <f>Translations!$B$333</f>
        <v>Pakopa</v>
      </c>
      <c r="G191" s="1557" t="str">
        <f>Translations!$B$672</f>
        <v>pakopos aprašas</v>
      </c>
      <c r="H191" s="1557"/>
      <c r="I191" s="1555" t="str">
        <f>Translations!$B$158</f>
        <v>Vienetas</v>
      </c>
      <c r="J191" s="1555"/>
      <c r="K191" s="1555" t="str">
        <f>Translations!$B$673</f>
        <v>Vertė</v>
      </c>
      <c r="L191" s="1555"/>
      <c r="M191" s="507" t="str">
        <f>Translations!$B$610</f>
        <v>klaida</v>
      </c>
      <c r="N191" s="142"/>
      <c r="O191" s="733"/>
      <c r="P191" s="508"/>
      <c r="Q191" s="30"/>
      <c r="R191" s="489"/>
      <c r="S191" s="30"/>
      <c r="T191" s="509" t="s">
        <v>303</v>
      </c>
      <c r="U191" s="30"/>
      <c r="V191" s="30"/>
      <c r="W191" s="494" t="s">
        <v>566</v>
      </c>
      <c r="X191" s="494" t="s">
        <v>318</v>
      </c>
      <c r="Y191" s="30"/>
      <c r="Z191" s="30"/>
      <c r="AA191" s="505" t="s">
        <v>309</v>
      </c>
      <c r="AB191" s="342"/>
      <c r="AC191" s="492" t="s">
        <v>306</v>
      </c>
      <c r="AD191" s="504" t="s">
        <v>569</v>
      </c>
      <c r="AE191" s="504" t="s">
        <v>568</v>
      </c>
      <c r="AF191" s="510"/>
      <c r="AG191" s="510"/>
      <c r="AH191" s="30"/>
      <c r="AI191" s="492"/>
      <c r="AJ191" s="492"/>
      <c r="AK191" s="492"/>
      <c r="AL191" s="492"/>
      <c r="AM191" s="492"/>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3" t="s">
        <v>262</v>
      </c>
      <c r="BK191" s="23"/>
    </row>
    <row r="192" spans="1:63" s="1117" customFormat="1" ht="12.75" hidden="1" customHeight="1" thickBot="1">
      <c r="A192" s="58"/>
      <c r="B192" s="790"/>
      <c r="C192" s="814" t="s">
        <v>4</v>
      </c>
      <c r="D192" s="512" t="str">
        <f>Translations!$B$622</f>
        <v>VD:</v>
      </c>
      <c r="E192" s="513"/>
      <c r="F192" s="402"/>
      <c r="G192" s="1532" t="str">
        <f>IF(OR(ISBLANK(F192),F192=EUconst_NoTier),"",IF(X192=0,EUconst_NA,IF(ISERROR(X192),"",X192)))</f>
        <v/>
      </c>
      <c r="H192" s="1533"/>
      <c r="I192" s="1619" t="str">
        <f>EUconst_t</f>
        <v>t</v>
      </c>
      <c r="J192" s="1620"/>
      <c r="K192" s="1630"/>
      <c r="L192" s="1631"/>
      <c r="M192" s="709" t="str">
        <f>IF(AND(E187&lt;&gt;"",OR(F192="",K192=""),W192&lt;&gt;EUconst_NA),EUconst_ERR_Incomplete,IF(COUNTIF(AI192:AL192,TRUE)&gt;0,EUconst_ERR_Inconsistent,""))</f>
        <v/>
      </c>
      <c r="N192" s="142"/>
      <c r="O192" s="733"/>
      <c r="P192" s="644"/>
      <c r="Q192" s="30"/>
      <c r="R192" s="514" t="str">
        <f>EUconst_CNTR_ActivityData&amp;E187</f>
        <v>ActivityData_</v>
      </c>
      <c r="S192" s="497"/>
      <c r="T192" s="514" t="str">
        <f>IF(E186="","",INDEX(B_InstallationDescription!$I$71:$I$145,MATCH(S186,B_InstallationDescription!$D$71:$D$145,0)))</f>
        <v/>
      </c>
      <c r="U192" s="30"/>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0"/>
      <c r="AE192" s="518">
        <f>IF(W192=EUconst_NA,1,IF(COUNT(K192:L192)=0,0,IF(L192="",K192,L192)))</f>
        <v>0</v>
      </c>
      <c r="AF192" s="510" t="s">
        <v>311</v>
      </c>
      <c r="AG192" s="510"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4" t="b">
        <f>OR(CNTR_PFCRelevant=EUconst_NotRelevant,AND(COUNTA(CNTR_ListRelevantSections)&gt;0,E186=""))</f>
        <v>1</v>
      </c>
      <c r="BK192" s="23"/>
    </row>
    <row r="193" spans="1:63" s="1117" customFormat="1" ht="5.0999999999999996" hidden="1" customHeight="1">
      <c r="A193" s="58"/>
      <c r="B193" s="790"/>
      <c r="C193" s="814"/>
      <c r="D193" s="306"/>
      <c r="E193" s="142"/>
      <c r="F193" s="143"/>
      <c r="G193" s="143"/>
      <c r="H193" s="143" t="s">
        <v>236</v>
      </c>
      <c r="I193" s="525"/>
      <c r="J193" s="525"/>
      <c r="K193" s="143"/>
      <c r="L193" s="143"/>
      <c r="M193" s="710"/>
      <c r="N193" s="142"/>
      <c r="O193" s="733"/>
      <c r="P193" s="33"/>
      <c r="Q193" s="30"/>
      <c r="R193" s="155"/>
      <c r="S193" s="497"/>
      <c r="T193" s="30"/>
      <c r="U193" s="30"/>
      <c r="V193" s="497"/>
      <c r="W193" s="526"/>
      <c r="X193" s="30"/>
      <c r="Y193" s="30"/>
      <c r="Z193" s="30"/>
      <c r="AA193" s="30"/>
      <c r="AB193" s="342"/>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3"/>
      <c r="BK193" s="23"/>
    </row>
    <row r="194" spans="1:63" s="1117" customFormat="1" ht="12.75" hidden="1" customHeight="1">
      <c r="A194" s="58"/>
      <c r="B194" s="790"/>
      <c r="C194" s="814" t="s">
        <v>5</v>
      </c>
      <c r="D194" s="512" t="str">
        <f>Translations!$B$722</f>
        <v>A. Dažnis</v>
      </c>
      <c r="E194" s="513"/>
      <c r="F194" s="527"/>
      <c r="G194" s="1532" t="str">
        <f t="shared" ref="G194:G200" si="26">IF(OR(ISBLANK(F194),F194=EUconst_NoTier),"",IF(X194=0,EUconst_NotApplicable,IF(ISERROR(X194),"",X194)))</f>
        <v/>
      </c>
      <c r="H194" s="1556"/>
      <c r="I194" s="1624" t="str">
        <f>IF(W194=EUconst_NA,"",INDEX(PFCUnits,1))</f>
        <v>1/(vienoje elektrolizės vonioje per parą)</v>
      </c>
      <c r="J194" s="1625"/>
      <c r="K194" s="678" t="str">
        <f t="shared" ref="K194:K200" si="27">IF(L194="",AD194,"")</f>
        <v/>
      </c>
      <c r="L194" s="694"/>
      <c r="M194" s="709" t="str">
        <f>IF(AND(E187&lt;&gt;"",OR(F194="",L194=""),W194&lt;&gt;EUconst_NA),EUconst_ERR_Incomplete,IF(COUNTIF(AI194:AL194,TRUE)&gt;0,EUconst_ERR_Inconsistent,""))</f>
        <v/>
      </c>
      <c r="N194" s="495"/>
      <c r="O194" s="733"/>
      <c r="P194" s="33"/>
      <c r="Q194" s="30"/>
      <c r="R194" s="530" t="str">
        <f>R192</f>
        <v>ActivityData_</v>
      </c>
      <c r="S194" s="497"/>
      <c r="T194" s="657" t="str">
        <f>T192</f>
        <v/>
      </c>
      <c r="U194" s="30"/>
      <c r="V194" s="497">
        <v>1</v>
      </c>
      <c r="W194" s="672" t="str">
        <f>IF(E187="","",IF(U187&lt;&gt;V194,EUconst_NA,INDEX(EUwideConstants!$N:$N,MATCH(R194,EUwideConstants!$Q:$Q,0))))</f>
        <v/>
      </c>
      <c r="X194" s="533" t="str">
        <f>IF(ISBLANK(F194),"",IF(F194=EUconst_NA,"",INDEX(EUwideConstants!$H:$M,MATCH(R194,EUwideConstants!$Q:$Q,0),MATCH(F194,CNTR_TierList,0))))</f>
        <v/>
      </c>
      <c r="Y194" s="30"/>
      <c r="Z194" s="30"/>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0"/>
      <c r="AI194" s="30"/>
      <c r="AJ194" s="30"/>
      <c r="AK194" s="534" t="b">
        <f t="shared" ref="AK194:AK200" si="30">AND(L194&lt;&gt;"",W194=EUconst_NA)</f>
        <v>0</v>
      </c>
      <c r="AL194" s="30"/>
      <c r="AM194" s="30"/>
      <c r="AN194" s="30"/>
      <c r="AO194" s="493" t="s">
        <v>390</v>
      </c>
      <c r="AP194" s="493" t="s">
        <v>391</v>
      </c>
      <c r="AQ194" s="30"/>
      <c r="AR194" s="30"/>
      <c r="AS194" s="30"/>
      <c r="AT194" s="30"/>
      <c r="AU194" s="30"/>
      <c r="AV194" s="30"/>
      <c r="AW194" s="30"/>
      <c r="AX194" s="30"/>
      <c r="AY194" s="30"/>
      <c r="AZ194" s="30"/>
      <c r="BA194" s="30"/>
      <c r="BB194" s="30"/>
      <c r="BC194" s="30"/>
      <c r="BD194" s="30"/>
      <c r="BE194" s="30"/>
      <c r="BF194" s="30"/>
      <c r="BG194" s="30"/>
      <c r="BH194" s="30"/>
      <c r="BI194" s="30"/>
      <c r="BJ194" s="534" t="b">
        <f>OR(BJ192,W194=EUconst_NA)</f>
        <v>1</v>
      </c>
      <c r="BK194" s="23"/>
    </row>
    <row r="195" spans="1:63" s="1117" customFormat="1" ht="12.75" hidden="1" customHeight="1" thickBot="1">
      <c r="A195" s="58"/>
      <c r="B195" s="790"/>
      <c r="C195" s="814" t="s">
        <v>196</v>
      </c>
      <c r="D195" s="512" t="str">
        <f>Translations!$B$724</f>
        <v>A. Trukmė</v>
      </c>
      <c r="E195" s="513"/>
      <c r="F195" s="645"/>
      <c r="G195" s="1532" t="str">
        <f t="shared" si="26"/>
        <v/>
      </c>
      <c r="H195" s="1556"/>
      <c r="I195" s="1626" t="str">
        <f>IF(W195=EUconst_NA,"",INDEX(PFCUnits,2))</f>
        <v>min.</v>
      </c>
      <c r="J195" s="1627"/>
      <c r="K195" s="679" t="str">
        <f t="shared" si="27"/>
        <v/>
      </c>
      <c r="L195" s="695"/>
      <c r="M195" s="709" t="str">
        <f>IF(AND(E187&lt;&gt;"",OR(F195="",L195=""),W195&lt;&gt;EUconst_NA),EUconst_ERR_Incomplete,IF(COUNTIF(AI195:AL195,TRUE)&gt;0,EUconst_ERR_Inconsistent,""))</f>
        <v/>
      </c>
      <c r="N195" s="495"/>
      <c r="O195" s="733"/>
      <c r="P195" s="33"/>
      <c r="Q195" s="30"/>
      <c r="R195" s="552" t="str">
        <f>R194</f>
        <v>ActivityData_</v>
      </c>
      <c r="S195" s="497"/>
      <c r="T195" s="658" t="str">
        <f t="shared" ref="T195:T200" si="31">T194</f>
        <v/>
      </c>
      <c r="U195" s="30"/>
      <c r="V195" s="497">
        <v>1</v>
      </c>
      <c r="W195" s="671" t="str">
        <f>IF(E187="","",IF(U187&lt;&gt;V195,EUconst_NA,INDEX(EUwideConstants!$N:$N,MATCH(R195,EUwideConstants!$Q:$Q,0))))</f>
        <v/>
      </c>
      <c r="X195" s="555" t="str">
        <f>IF(ISBLANK(F195),"",IF(F195=EUconst_NA,"",INDEX(EUwideConstants!$H:$M,MATCH(R195,EUwideConstants!$Q:$Q,0),MATCH(F195,CNTR_TierList,0))))</f>
        <v/>
      </c>
      <c r="Y195" s="30"/>
      <c r="Z195" s="30"/>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0"/>
      <c r="AI195" s="30"/>
      <c r="AJ195" s="30"/>
      <c r="AK195" s="660" t="b">
        <f t="shared" si="30"/>
        <v>0</v>
      </c>
      <c r="AL195" s="30"/>
      <c r="AM195" s="30"/>
      <c r="AN195" s="547" t="s">
        <v>446</v>
      </c>
      <c r="AO195" s="546" t="str">
        <f>IF(ISNUMBER(U187),AE192*AE194*AE195*AE196/1000,"")</f>
        <v/>
      </c>
      <c r="AP195" s="524"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60" t="b">
        <f>OR(BJ192,W195=EUconst_NA)</f>
        <v>1</v>
      </c>
      <c r="BK195" s="23"/>
    </row>
    <row r="196" spans="1:63" s="1117" customFormat="1" ht="12.75" hidden="1" customHeight="1" thickBot="1">
      <c r="A196" s="58"/>
      <c r="B196" s="790"/>
      <c r="C196" s="814" t="s">
        <v>197</v>
      </c>
      <c r="D196" s="652" t="str">
        <f>Translations!$B$726</f>
        <v>A. NITF(CF4)</v>
      </c>
      <c r="E196" s="653"/>
      <c r="F196" s="548"/>
      <c r="G196" s="1628" t="str">
        <f t="shared" si="26"/>
        <v/>
      </c>
      <c r="H196" s="1629"/>
      <c r="I196" s="1626" t="str">
        <f>IF(W196=EUconst_NA,"",INDEX(PFCUnits,3))</f>
        <v>(kg CF4/t Al)/(min./vienoje elektrolizės vonioje per parą)</v>
      </c>
      <c r="J196" s="1627"/>
      <c r="K196" s="680" t="str">
        <f t="shared" si="27"/>
        <v/>
      </c>
      <c r="L196" s="683"/>
      <c r="M196" s="711" t="str">
        <f>IF(AND(E187&lt;&gt;"",OR(F196="",COUNT(K196:L196)=0),W196&lt;&gt;EUconst_NA),EUconst_ERR_Incomplete,IF(COUNTIF(AI196:AL196,TRUE)&gt;0,EUconst_ERR_Inconsistent,""))</f>
        <v/>
      </c>
      <c r="N196" s="142"/>
      <c r="O196" s="733"/>
      <c r="P196" s="33"/>
      <c r="Q196" s="30"/>
      <c r="R196" s="552" t="str">
        <f>EUconst_CNTR_EF&amp;$E187</f>
        <v>EF_</v>
      </c>
      <c r="S196" s="497"/>
      <c r="T196" s="658" t="str">
        <f t="shared" si="31"/>
        <v/>
      </c>
      <c r="U196" s="30"/>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0"/>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0"/>
      <c r="AI196" s="30"/>
      <c r="AJ196" s="30"/>
      <c r="AK196" s="660" t="b">
        <f t="shared" si="30"/>
        <v>0</v>
      </c>
      <c r="AL196" s="30"/>
      <c r="AM196" s="30"/>
      <c r="AN196" s="547" t="s">
        <v>447</v>
      </c>
      <c r="AO196" s="546">
        <f>IF(AND(ISNUMBER(AO195),AO195&gt;0),AO195*AE200,0)</f>
        <v>0</v>
      </c>
      <c r="AP196" s="524">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60" t="b">
        <f>OR(BJ192,W196=EUconst_NA)</f>
        <v>1</v>
      </c>
      <c r="BK196" s="23"/>
    </row>
    <row r="197" spans="1:63" s="1117" customFormat="1" ht="12.75" hidden="1" customHeight="1" thickBot="1">
      <c r="A197" s="58"/>
      <c r="B197" s="790"/>
      <c r="C197" s="814" t="s">
        <v>198</v>
      </c>
      <c r="D197" s="650" t="str">
        <f>Translations!$B$728</f>
        <v>B. AEV</v>
      </c>
      <c r="E197" s="651"/>
      <c r="F197" s="645"/>
      <c r="G197" s="1622" t="str">
        <f t="shared" si="26"/>
        <v/>
      </c>
      <c r="H197" s="1623"/>
      <c r="I197" s="1626" t="str">
        <f>IF(W197=EUconst_NA,"",INDEX(PFCUnits,4))</f>
        <v>mV</v>
      </c>
      <c r="J197" s="1627"/>
      <c r="K197" s="679" t="str">
        <f t="shared" si="27"/>
        <v/>
      </c>
      <c r="L197" s="695"/>
      <c r="M197" s="712" t="str">
        <f>IF(AND(E187&lt;&gt;"",OR(F197="",L197=""),W197&lt;&gt;EUconst_NA),EUconst_ERR_Incomplete,IF(COUNTIF(AI197:AL197,TRUE)&gt;0,EUconst_ERR_Inconsistent,""))</f>
        <v/>
      </c>
      <c r="N197" s="142"/>
      <c r="O197" s="733"/>
      <c r="P197" s="644"/>
      <c r="Q197" s="30"/>
      <c r="R197" s="552" t="str">
        <f>R192</f>
        <v>ActivityData_</v>
      </c>
      <c r="S197" s="497"/>
      <c r="T197" s="658" t="str">
        <f t="shared" si="31"/>
        <v/>
      </c>
      <c r="U197" s="30"/>
      <c r="V197" s="497">
        <v>2</v>
      </c>
      <c r="W197" s="671" t="str">
        <f>IF(E187="","",IF(U187&lt;&gt;V197,EUconst_NA,INDEX(EUwideConstants!$N:$N,MATCH(R197,EUwideConstants!$Q:$Q,0))))</f>
        <v/>
      </c>
      <c r="X197" s="555" t="str">
        <f>IF(ISBLANK(F197),"",IF(F197=EUconst_NA,"",INDEX(EUwideConstants!$H:$M,MATCH(R197,EUwideConstants!$Q:$Q,0),MATCH(F197,CNTR_TierList,0))))</f>
        <v/>
      </c>
      <c r="Y197" s="30"/>
      <c r="Z197" s="30"/>
      <c r="AA197" s="557" t="b">
        <f>AND(AA192,W197&lt;&gt;EUconst_NA)</f>
        <v>0</v>
      </c>
      <c r="AB197" s="342"/>
      <c r="AC197" s="676"/>
      <c r="AD197" s="676" t="str">
        <f>""</f>
        <v/>
      </c>
      <c r="AE197" s="660">
        <f t="shared" si="28"/>
        <v>0</v>
      </c>
      <c r="AF197" s="660" t="b">
        <f>AND(AA197=TRUE,OR(ISNUMBER(L197),NOT(ISNUMBER(Y197))))</f>
        <v>0</v>
      </c>
      <c r="AG197" s="660" t="b">
        <f t="shared" si="29"/>
        <v>0</v>
      </c>
      <c r="AH197" s="30"/>
      <c r="AI197" s="30"/>
      <c r="AJ197" s="30"/>
      <c r="AK197" s="660" t="b">
        <f t="shared" si="30"/>
        <v>0</v>
      </c>
      <c r="AL197" s="30"/>
      <c r="AM197" s="30"/>
      <c r="AN197" s="547" t="s">
        <v>446</v>
      </c>
      <c r="AO197" s="546" t="str">
        <f>IF(ISNUMBER(AO195),AO195*AE205,"")</f>
        <v/>
      </c>
      <c r="AP197" s="524"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60" t="b">
        <f>OR(BJ192,W197=EUconst_NA)</f>
        <v>1</v>
      </c>
      <c r="BK197" s="23"/>
    </row>
    <row r="198" spans="1:63" s="1117" customFormat="1" ht="12.75" hidden="1" customHeight="1" thickBot="1">
      <c r="A198" s="58"/>
      <c r="B198" s="790"/>
      <c r="C198" s="777" t="s">
        <v>199</v>
      </c>
      <c r="D198" s="512" t="str">
        <f>Translations!$B$730</f>
        <v>B. EN</v>
      </c>
      <c r="E198" s="513"/>
      <c r="F198" s="548"/>
      <c r="G198" s="1532" t="str">
        <f t="shared" si="26"/>
        <v/>
      </c>
      <c r="H198" s="1533"/>
      <c r="I198" s="1626" t="str">
        <f>IF(W198=EUconst_NA,"","-")</f>
        <v>-</v>
      </c>
      <c r="J198" s="1627"/>
      <c r="K198" s="681" t="str">
        <f t="shared" si="27"/>
        <v/>
      </c>
      <c r="L198" s="571"/>
      <c r="M198" s="709" t="str">
        <f>IF(AND(E187&lt;&gt;"",OR(F198="",L198=""),W198&lt;&gt;EUconst_NA),EUconst_ERR_Incomplete,IF(COUNTIF(AI198:AL198,TRUE)&gt;0,EUconst_ERR_Inconsistent,""))</f>
        <v/>
      </c>
      <c r="N198" s="142"/>
      <c r="O198" s="733"/>
      <c r="P198" s="644"/>
      <c r="Q198" s="30"/>
      <c r="R198" s="552" t="str">
        <f>R197</f>
        <v>ActivityData_</v>
      </c>
      <c r="S198" s="497"/>
      <c r="T198" s="658" t="str">
        <f t="shared" si="31"/>
        <v/>
      </c>
      <c r="U198" s="30"/>
      <c r="V198" s="497">
        <v>2</v>
      </c>
      <c r="W198" s="671" t="str">
        <f>IF(E187="","",IF(U187&lt;&gt;V198,EUconst_NA,INDEX(EUwideConstants!$N:$N,MATCH(R198,EUwideConstants!$Q:$Q,0))))</f>
        <v/>
      </c>
      <c r="X198" s="555" t="str">
        <f>IF(ISBLANK(F198),"",IF(F198=EUconst_NA,"",INDEX(EUwideConstants!$H:$M,MATCH(R198,EUwideConstants!$Q:$Q,0),MATCH(F198,CNTR_TierList,0))))</f>
        <v/>
      </c>
      <c r="Y198" s="30"/>
      <c r="Z198" s="30"/>
      <c r="AA198" s="557" t="b">
        <f>AND(AA192,W198&lt;&gt;EUconst_NA)</f>
        <v>0</v>
      </c>
      <c r="AB198" s="342"/>
      <c r="AC198" s="676"/>
      <c r="AD198" s="676" t="str">
        <f>""</f>
        <v/>
      </c>
      <c r="AE198" s="660">
        <f t="shared" si="28"/>
        <v>0</v>
      </c>
      <c r="AF198" s="660" t="b">
        <f>AND(AA198=TRUE,OR(ISNUMBER(L198),NOT(ISNUMBER(Y198))))</f>
        <v>0</v>
      </c>
      <c r="AG198" s="660" t="b">
        <f t="shared" si="29"/>
        <v>0</v>
      </c>
      <c r="AH198" s="30"/>
      <c r="AI198" s="30"/>
      <c r="AJ198" s="30"/>
      <c r="AK198" s="708" t="b">
        <f t="shared" si="30"/>
        <v>0</v>
      </c>
      <c r="AL198" s="524" t="b">
        <f>L198&gt;100%</f>
        <v>0</v>
      </c>
      <c r="AM198" s="30"/>
      <c r="AN198" s="547" t="s">
        <v>447</v>
      </c>
      <c r="AO198" s="546">
        <f>IF(ISNUMBER(AO196),AO196*AE206,"")</f>
        <v>0</v>
      </c>
      <c r="AP198" s="524">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60" t="b">
        <f>OR(BJ192,W198=EUconst_NA)</f>
        <v>1</v>
      </c>
      <c r="BK198" s="23"/>
    </row>
    <row r="199" spans="1:63" s="1117" customFormat="1" ht="12.75" hidden="1" customHeight="1" thickBot="1">
      <c r="A199" s="58"/>
      <c r="B199" s="790"/>
      <c r="C199" s="814" t="s">
        <v>200</v>
      </c>
      <c r="D199" s="652" t="str">
        <f>Translations!$B$732</f>
        <v>B. VĮK</v>
      </c>
      <c r="E199" s="653"/>
      <c r="F199" s="548"/>
      <c r="G199" s="1628" t="str">
        <f t="shared" si="26"/>
        <v/>
      </c>
      <c r="H199" s="1629"/>
      <c r="I199" s="1626" t="str">
        <f>IF(W199=EUconst_NA,"",INDEX(PFCUnits,6))</f>
        <v>(kg CF4)/(t Al mV)</v>
      </c>
      <c r="J199" s="1627"/>
      <c r="K199" s="681" t="str">
        <f t="shared" si="27"/>
        <v/>
      </c>
      <c r="L199" s="684"/>
      <c r="M199" s="711" t="str">
        <f>IF(AND(E187&lt;&gt;"",OR(F199="",COUNT(K199:L199)=0),W199&lt;&gt;EUconst_NA),EUconst_ERR_Incomplete,IF(COUNTIF(AI199:AL199,TRUE)&gt;0,EUconst_ERR_Inconsistent,""))</f>
        <v/>
      </c>
      <c r="N199" s="142"/>
      <c r="O199" s="733"/>
      <c r="P199" s="33"/>
      <c r="Q199" s="30"/>
      <c r="R199" s="552" t="str">
        <f>EUconst_CNTR_EF&amp;E187</f>
        <v>EF_</v>
      </c>
      <c r="S199" s="497"/>
      <c r="T199" s="658" t="str">
        <f t="shared" si="31"/>
        <v/>
      </c>
      <c r="U199" s="30"/>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0"/>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0"/>
      <c r="AI199" s="30"/>
      <c r="AJ199" s="30"/>
      <c r="AK199" s="660"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60" t="b">
        <f>OR(BJ192,W199=EUconst_NA)</f>
        <v>1</v>
      </c>
      <c r="BK199" s="23"/>
    </row>
    <row r="200" spans="1:63" s="1117" customFormat="1" ht="12.75" hidden="1" customHeight="1" thickBot="1">
      <c r="A200" s="58"/>
      <c r="B200" s="790"/>
      <c r="C200" s="814" t="s">
        <v>329</v>
      </c>
      <c r="D200" s="650" t="str">
        <f>Translations!$B$734</f>
        <v>F(C2F6)</v>
      </c>
      <c r="E200" s="651"/>
      <c r="F200" s="597"/>
      <c r="G200" s="1622" t="str">
        <f t="shared" si="26"/>
        <v/>
      </c>
      <c r="H200" s="1623"/>
      <c r="I200" s="1617" t="str">
        <f>IF(W200=EUconst_NA,"",INDEX(PFCUnits,7))</f>
        <v>t C2F6/t CF4</v>
      </c>
      <c r="J200" s="1618"/>
      <c r="K200" s="682" t="str">
        <f t="shared" si="27"/>
        <v/>
      </c>
      <c r="L200" s="685"/>
      <c r="M200" s="712" t="str">
        <f>IF(AND(E187&lt;&gt;"",OR(F200="",COUNT(K200:L200)=0),W200&lt;&gt;EUconst_NA),EUconst_ERR_Incomplete,IF(COUNTIF(AI200:AL200,TRUE)&gt;0,EUconst_ERR_Inconsistent,""))</f>
        <v/>
      </c>
      <c r="N200" s="142"/>
      <c r="O200" s="733"/>
      <c r="P200" s="33"/>
      <c r="Q200" s="30"/>
      <c r="R200" s="599" t="str">
        <f>EUconst_CNTR_EF&amp;E187</f>
        <v>EF_</v>
      </c>
      <c r="S200" s="497"/>
      <c r="T200" s="659" t="str">
        <f t="shared" si="31"/>
        <v/>
      </c>
      <c r="U200" s="30"/>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0"/>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0"/>
      <c r="AI200" s="30"/>
      <c r="AJ200" s="30"/>
      <c r="AK200" s="582"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2" t="b">
        <f>OR(BJ192,W200=EUconst_NA)</f>
        <v>1</v>
      </c>
      <c r="BK200" s="23"/>
    </row>
    <row r="201" spans="1:63" s="1117" customFormat="1" ht="5.0999999999999996" hidden="1" customHeight="1">
      <c r="A201" s="58"/>
      <c r="B201" s="790"/>
      <c r="C201" s="166"/>
      <c r="D201" s="180"/>
      <c r="E201" s="142"/>
      <c r="F201" s="142"/>
      <c r="G201" s="142"/>
      <c r="H201" s="142"/>
      <c r="I201" s="142"/>
      <c r="J201" s="142"/>
      <c r="K201" s="142"/>
      <c r="L201" s="142"/>
      <c r="M201" s="704"/>
      <c r="N201" s="142"/>
      <c r="O201" s="733"/>
      <c r="P201" s="33"/>
      <c r="Q201" s="174"/>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7" customFormat="1" ht="12.75" hidden="1" customHeight="1">
      <c r="A202" s="58"/>
      <c r="B202" s="790"/>
      <c r="C202" s="777" t="s">
        <v>330</v>
      </c>
      <c r="D202" s="646" t="str">
        <f>Translations!$B$748</f>
        <v>Išmestas CF4 kiekis</v>
      </c>
      <c r="E202" s="647"/>
      <c r="F202" s="513"/>
      <c r="G202" s="513"/>
      <c r="H202" s="513"/>
      <c r="I202" s="1624" t="str">
        <f>EUconst_t</f>
        <v>t</v>
      </c>
      <c r="J202" s="1625"/>
      <c r="K202" s="513"/>
      <c r="L202" s="955" t="str">
        <f>IF(ISNUMBER(U187),INDEX(AO195:AP195,U187),"")</f>
        <v/>
      </c>
      <c r="M202" s="704"/>
      <c r="N202" s="142"/>
      <c r="O202" s="733"/>
      <c r="P202" s="33"/>
      <c r="Q202" s="174"/>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7" customFormat="1" ht="12.75" hidden="1" customHeight="1" thickBot="1">
      <c r="A203" s="58"/>
      <c r="B203" s="790"/>
      <c r="C203" s="777" t="s">
        <v>454</v>
      </c>
      <c r="D203" s="646" t="str">
        <f>Translations!$B$749</f>
        <v>Išmestas C2F6 kiekis</v>
      </c>
      <c r="E203" s="513"/>
      <c r="F203" s="513"/>
      <c r="G203" s="513"/>
      <c r="H203" s="513"/>
      <c r="I203" s="1617" t="str">
        <f>EUconst_t</f>
        <v>t</v>
      </c>
      <c r="J203" s="1618"/>
      <c r="K203" s="513"/>
      <c r="L203" s="956" t="str">
        <f>IF(ISNUMBER(U187),INDEX(AO196:AP196,U187),"")</f>
        <v/>
      </c>
      <c r="M203" s="704"/>
      <c r="N203" s="142"/>
      <c r="O203" s="733"/>
      <c r="P203" s="33"/>
      <c r="Q203" s="174"/>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7" customFormat="1" ht="5.0999999999999996" hidden="1" customHeight="1">
      <c r="A204" s="58"/>
      <c r="B204" s="790"/>
      <c r="C204" s="779"/>
      <c r="D204" s="180"/>
      <c r="E204" s="142"/>
      <c r="F204" s="142"/>
      <c r="G204" s="142"/>
      <c r="H204" s="142"/>
      <c r="I204" s="142"/>
      <c r="J204" s="142"/>
      <c r="K204" s="142"/>
      <c r="L204" s="142"/>
      <c r="M204" s="704"/>
      <c r="N204" s="142"/>
      <c r="O204" s="733"/>
      <c r="P204" s="33"/>
      <c r="Q204" s="174"/>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7" customFormat="1" ht="12.75" hidden="1" customHeight="1">
      <c r="A205" s="58"/>
      <c r="B205" s="790"/>
      <c r="C205" s="777" t="s">
        <v>455</v>
      </c>
      <c r="D205" s="646" t="str">
        <f>Translations!$B$736</f>
        <v>VAP(CF4)</v>
      </c>
      <c r="E205" s="647"/>
      <c r="F205" s="513"/>
      <c r="G205" s="513"/>
      <c r="H205" s="513"/>
      <c r="I205" s="1624" t="s">
        <v>444</v>
      </c>
      <c r="J205" s="1625"/>
      <c r="K205" s="648">
        <f>IF(L205="",7390,"")</f>
        <v>7390</v>
      </c>
      <c r="L205" s="968"/>
      <c r="M205" s="704"/>
      <c r="N205" s="142"/>
      <c r="O205" s="733"/>
      <c r="P205" s="644"/>
      <c r="Q205" s="174"/>
      <c r="R205" s="30"/>
      <c r="S205" s="30"/>
      <c r="T205" s="30"/>
      <c r="U205" s="30"/>
      <c r="V205" s="30"/>
      <c r="W205" s="30"/>
      <c r="X205" s="30"/>
      <c r="Y205" s="30"/>
      <c r="Z205" s="30"/>
      <c r="AA205" s="30"/>
      <c r="AB205" s="30"/>
      <c r="AC205" s="30"/>
      <c r="AD205" s="30"/>
      <c r="AE205" s="535">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1" t="b">
        <f>BJ192</f>
        <v>1</v>
      </c>
      <c r="BK205" s="23"/>
    </row>
    <row r="206" spans="1:63" s="1117" customFormat="1" ht="12.75" hidden="1" customHeight="1" thickBot="1">
      <c r="A206" s="58"/>
      <c r="B206" s="790"/>
      <c r="C206" s="777" t="s">
        <v>456</v>
      </c>
      <c r="D206" s="646" t="str">
        <f>Translations!$B$738</f>
        <v>VAP(C2F6)</v>
      </c>
      <c r="E206" s="647"/>
      <c r="F206" s="513"/>
      <c r="G206" s="513"/>
      <c r="H206" s="513"/>
      <c r="I206" s="1617" t="s">
        <v>445</v>
      </c>
      <c r="J206" s="1618"/>
      <c r="K206" s="649">
        <f>IF(L206="",12200,"")</f>
        <v>12200</v>
      </c>
      <c r="L206" s="969"/>
      <c r="M206" s="704"/>
      <c r="N206" s="142"/>
      <c r="O206" s="733"/>
      <c r="P206" s="33"/>
      <c r="Q206" s="174"/>
      <c r="R206" s="30"/>
      <c r="S206" s="30"/>
      <c r="T206" s="30"/>
      <c r="U206" s="30"/>
      <c r="V206" s="30"/>
      <c r="W206" s="30"/>
      <c r="X206" s="30"/>
      <c r="Y206" s="30"/>
      <c r="Z206" s="30"/>
      <c r="AA206" s="30"/>
      <c r="AB206" s="30"/>
      <c r="AC206" s="30"/>
      <c r="AD206" s="30"/>
      <c r="AE206" s="674">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80" t="b">
        <f>BJ205</f>
        <v>1</v>
      </c>
      <c r="BK206" s="23"/>
    </row>
    <row r="207" spans="1:63" s="1117" customFormat="1" ht="5.0999999999999996" hidden="1" customHeight="1">
      <c r="A207" s="58"/>
      <c r="B207" s="790"/>
      <c r="C207" s="779"/>
      <c r="D207" s="306"/>
      <c r="E207" s="495"/>
      <c r="F207" s="142"/>
      <c r="G207" s="142"/>
      <c r="H207" s="142"/>
      <c r="I207" s="142"/>
      <c r="J207" s="142"/>
      <c r="K207" s="142"/>
      <c r="L207" s="704"/>
      <c r="M207" s="704"/>
      <c r="N207" s="142"/>
      <c r="O207" s="733"/>
      <c r="P207" s="33"/>
      <c r="Q207" s="174"/>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7" customFormat="1" ht="12.75" hidden="1" customHeight="1">
      <c r="A208" s="58"/>
      <c r="B208" s="790"/>
      <c r="C208" s="777" t="s">
        <v>457</v>
      </c>
      <c r="D208" s="646" t="str">
        <f>Translations!$B$748</f>
        <v>Išmestas CF4 kiekis</v>
      </c>
      <c r="E208" s="647"/>
      <c r="F208" s="513"/>
      <c r="G208" s="513"/>
      <c r="H208" s="513"/>
      <c r="I208" s="1624" t="s">
        <v>260</v>
      </c>
      <c r="J208" s="1625"/>
      <c r="K208" s="513"/>
      <c r="L208" s="705" t="str">
        <f>IF(ISNUMBER(U187),INDEX(AO197:AP197,U187),"")</f>
        <v/>
      </c>
      <c r="M208" s="704"/>
      <c r="N208" s="142"/>
      <c r="O208" s="733"/>
      <c r="P208" s="644"/>
      <c r="Q208" s="174"/>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7" customFormat="1" ht="12.75" hidden="1" customHeight="1" thickBot="1">
      <c r="A209" s="58"/>
      <c r="B209" s="790"/>
      <c r="C209" s="777" t="s">
        <v>458</v>
      </c>
      <c r="D209" s="646" t="str">
        <f>Translations!$B$749</f>
        <v>Išmestas C2F6 kiekis</v>
      </c>
      <c r="E209" s="513"/>
      <c r="F209" s="513"/>
      <c r="G209" s="513"/>
      <c r="H209" s="513"/>
      <c r="I209" s="1617" t="s">
        <v>260</v>
      </c>
      <c r="J209" s="1618"/>
      <c r="K209" s="513"/>
      <c r="L209" s="706" t="str">
        <f>IF(ISNUMBER(U187),INDEX(AO198:AP198,U187),"")</f>
        <v/>
      </c>
      <c r="M209" s="704"/>
      <c r="N209" s="142"/>
      <c r="O209" s="733"/>
      <c r="P209" s="33"/>
      <c r="Q209" s="174"/>
      <c r="R209" s="30"/>
      <c r="S209" s="30"/>
      <c r="T209" s="30"/>
      <c r="U209" s="30"/>
      <c r="V209" s="30"/>
      <c r="W209" s="30"/>
      <c r="X209" s="30"/>
      <c r="Y209" s="30"/>
      <c r="Z209" s="30"/>
      <c r="AA209" s="30"/>
      <c r="AB209" s="30"/>
      <c r="AC209" s="30"/>
      <c r="AD209" s="30"/>
      <c r="AE209" s="492"/>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7" customFormat="1" ht="5.0999999999999996" hidden="1" customHeight="1">
      <c r="A210" s="58"/>
      <c r="B210" s="790"/>
      <c r="C210" s="779"/>
      <c r="D210" s="180"/>
      <c r="E210" s="142"/>
      <c r="F210" s="142"/>
      <c r="G210" s="142"/>
      <c r="H210" s="142"/>
      <c r="I210" s="142"/>
      <c r="J210" s="142"/>
      <c r="K210" s="142"/>
      <c r="L210" s="142"/>
      <c r="M210" s="704"/>
      <c r="N210" s="142"/>
      <c r="O210" s="733"/>
      <c r="P210" s="33"/>
      <c r="Q210" s="174"/>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7" customFormat="1" ht="12.75" hidden="1" customHeight="1" thickBot="1">
      <c r="A211" s="58"/>
      <c r="B211" s="790"/>
      <c r="C211" s="777" t="s">
        <v>459</v>
      </c>
      <c r="D211" s="646" t="str">
        <f>Translations!$B$167</f>
        <v>Surinkimo efektyvumas</v>
      </c>
      <c r="E211" s="513"/>
      <c r="F211" s="513"/>
      <c r="G211" s="513"/>
      <c r="H211" s="513"/>
      <c r="I211" s="1619" t="s">
        <v>261</v>
      </c>
      <c r="J211" s="1620"/>
      <c r="K211" s="513"/>
      <c r="L211" s="970"/>
      <c r="M211" s="709" t="str">
        <f>IF(AND(E187&lt;&gt;"",L211=""),EUconst_ERR_Incomplete,IF(COUNTIF(AI211:AL211,TRUE)&gt;0,EUconst_ERR_Inconsistent,""))</f>
        <v/>
      </c>
      <c r="N211" s="142"/>
      <c r="O211" s="733"/>
      <c r="P211" s="644"/>
      <c r="Q211" s="174"/>
      <c r="R211" s="30"/>
      <c r="S211" s="30"/>
      <c r="T211" s="30"/>
      <c r="U211" s="30"/>
      <c r="V211" s="30"/>
      <c r="W211" s="30"/>
      <c r="X211" s="30"/>
      <c r="Y211" s="30"/>
      <c r="Z211" s="30"/>
      <c r="AA211" s="30"/>
      <c r="AB211" s="30"/>
      <c r="AC211" s="30"/>
      <c r="AD211" s="30"/>
      <c r="AE211" s="30"/>
      <c r="AF211" s="30"/>
      <c r="AG211" s="30"/>
      <c r="AH211" s="30"/>
      <c r="AI211" s="30"/>
      <c r="AJ211" s="30"/>
      <c r="AK211" s="30"/>
      <c r="AL211" s="524"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4" t="b">
        <f>BJ192</f>
        <v>1</v>
      </c>
      <c r="BK211" s="23"/>
    </row>
    <row r="212" spans="1:63" s="1117" customFormat="1" ht="5.0999999999999996" hidden="1" customHeight="1">
      <c r="A212" s="58"/>
      <c r="B212" s="790"/>
      <c r="C212" s="166"/>
      <c r="D212" s="180"/>
      <c r="E212" s="142"/>
      <c r="F212" s="142"/>
      <c r="G212" s="142"/>
      <c r="H212" s="142"/>
      <c r="I212" s="142"/>
      <c r="J212" s="142"/>
      <c r="K212" s="142"/>
      <c r="L212" s="142"/>
      <c r="M212" s="142"/>
      <c r="N212" s="142"/>
      <c r="O212" s="733"/>
      <c r="P212" s="33"/>
      <c r="Q212" s="174"/>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7" customFormat="1" ht="12.75" hidden="1" customHeight="1" thickBot="1">
      <c r="A213" s="58"/>
      <c r="B213" s="790"/>
      <c r="C213" s="166"/>
      <c r="D213" s="1558" t="str">
        <f>Translations!$B$674</f>
        <v>Pakopos galioja nuo:</v>
      </c>
      <c r="E213" s="1558"/>
      <c r="F213" s="1559"/>
      <c r="G213" s="616"/>
      <c r="H213" s="615" t="str">
        <f>Translations!$B$675</f>
        <v>iki:</v>
      </c>
      <c r="I213" s="616"/>
      <c r="J213" s="142"/>
      <c r="K213" s="142"/>
      <c r="L213" s="142"/>
      <c r="M213" s="142"/>
      <c r="N213" s="142"/>
      <c r="O213" s="733"/>
      <c r="P213" s="33"/>
      <c r="Q213" s="174"/>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4" t="b">
        <f>BJ192</f>
        <v>1</v>
      </c>
      <c r="BK213" s="23"/>
    </row>
    <row r="214" spans="1:63" s="1117" customFormat="1" ht="5.0999999999999996" hidden="1" customHeight="1">
      <c r="A214" s="30"/>
      <c r="B214" s="572"/>
      <c r="C214" s="142"/>
      <c r="D214" s="180"/>
      <c r="E214" s="142"/>
      <c r="F214" s="142"/>
      <c r="G214" s="142"/>
      <c r="H214" s="142"/>
      <c r="I214" s="142"/>
      <c r="J214" s="142"/>
      <c r="K214" s="142"/>
      <c r="L214" s="142"/>
      <c r="M214" s="142"/>
      <c r="N214" s="142"/>
      <c r="O214" s="573"/>
      <c r="P214" s="497"/>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7" customFormat="1" ht="12.75" hidden="1" customHeight="1" thickBot="1">
      <c r="A215" s="30"/>
      <c r="B215" s="572"/>
      <c r="C215" s="142"/>
      <c r="D215" s="1534" t="str">
        <f>Translations!$B$160</f>
        <v>Pastabos:</v>
      </c>
      <c r="E215" s="1535"/>
      <c r="F215" s="1621"/>
      <c r="G215" s="1621"/>
      <c r="H215" s="1621"/>
      <c r="I215" s="1621"/>
      <c r="J215" s="1621"/>
      <c r="K215" s="1621"/>
      <c r="L215" s="1621"/>
      <c r="M215" s="1621"/>
      <c r="N215" s="1621"/>
      <c r="O215" s="573"/>
      <c r="P215" s="497"/>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4" t="b">
        <f>BJ213</f>
        <v>1</v>
      </c>
      <c r="BK215" s="23"/>
    </row>
    <row r="216" spans="1:63" s="1114" customFormat="1" ht="12.75" hidden="1" customHeight="1" thickBot="1">
      <c r="A216" s="58"/>
      <c r="B216" s="838"/>
      <c r="C216" s="499"/>
      <c r="D216" s="500"/>
      <c r="E216" s="501"/>
      <c r="F216" s="499"/>
      <c r="G216" s="502"/>
      <c r="H216" s="502"/>
      <c r="I216" s="502"/>
      <c r="J216" s="502"/>
      <c r="K216" s="502"/>
      <c r="L216" s="502"/>
      <c r="M216" s="502"/>
      <c r="N216" s="502"/>
      <c r="O216" s="740"/>
      <c r="P216" s="494"/>
      <c r="Q216" s="58"/>
      <c r="R216" s="58"/>
      <c r="S216" s="498"/>
      <c r="T216" s="58"/>
      <c r="U216" s="58"/>
      <c r="V216" s="49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4" customFormat="1" ht="12.75" hidden="1" customHeight="1">
      <c r="A217" s="491"/>
      <c r="B217" s="838"/>
      <c r="C217" s="495"/>
      <c r="D217" s="180"/>
      <c r="E217" s="496"/>
      <c r="F217" s="495"/>
      <c r="G217" s="487"/>
      <c r="H217" s="487"/>
      <c r="I217" s="487"/>
      <c r="J217" s="487"/>
      <c r="K217" s="495"/>
      <c r="L217" s="487"/>
      <c r="M217" s="487"/>
      <c r="N217" s="487"/>
      <c r="O217" s="740"/>
      <c r="P217" s="494"/>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7" customFormat="1" ht="15" hidden="1" customHeight="1" thickBot="1">
      <c r="A218" s="58"/>
      <c r="B218" s="790"/>
      <c r="C218" s="617">
        <f>C186+1</f>
        <v>6</v>
      </c>
      <c r="D218" s="343"/>
      <c r="E218" s="1542"/>
      <c r="F218" s="1543"/>
      <c r="G218" s="1543"/>
      <c r="H218" s="1543"/>
      <c r="I218" s="1543"/>
      <c r="J218" s="1544"/>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7" t="str">
        <f>IF(ISBLANK(E218),"",MATCH(E218,CNTR_SourceStreamNames,0))</f>
        <v/>
      </c>
      <c r="S218" s="618" t="str">
        <f>IF(ISBLANK(E218),"",INDEX(B_InstallationDescription!$D$71:$D$145,MATCH(E218,CNTR_SourceStreamNames,0)))</f>
        <v/>
      </c>
      <c r="T218" s="509" t="s">
        <v>393</v>
      </c>
      <c r="U218" s="686" t="s">
        <v>67</v>
      </c>
      <c r="V218" s="58"/>
      <c r="W218" s="58"/>
      <c r="X218" s="58"/>
      <c r="Y218" s="58"/>
      <c r="Z218" s="58"/>
      <c r="AA218" s="58"/>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3"/>
    </row>
    <row r="219" spans="1:63" s="1117" customFormat="1" ht="15" hidden="1" customHeight="1" thickBot="1">
      <c r="A219" s="58"/>
      <c r="B219" s="790"/>
      <c r="C219" s="166"/>
      <c r="D219" s="166"/>
      <c r="E219" s="1547" t="str">
        <f>IF(E218="","",IF(INDEX(B_InstallationDescription!$E$71:$E$145,MATCH(S218,B_InstallationDescription!$D$71:$D$145,0))&gt;0,INDEX(B_InstallationDescription!$E$71:$E$145,MATCH(S218,B_InstallationDescription!$D$71:$D$145,0)),""))</f>
        <v/>
      </c>
      <c r="F219" s="1548"/>
      <c r="G219" s="1548"/>
      <c r="H219" s="1548"/>
      <c r="I219" s="1548"/>
      <c r="J219" s="1549"/>
      <c r="K219" s="142"/>
      <c r="L219" s="142"/>
      <c r="M219" s="143"/>
      <c r="N219" s="143"/>
      <c r="O219" s="733"/>
      <c r="P219" s="494"/>
      <c r="Q219" s="30"/>
      <c r="R219" s="27" t="s">
        <v>93</v>
      </c>
      <c r="S219" s="30"/>
      <c r="T219" s="578" t="b">
        <v>1</v>
      </c>
      <c r="U219" s="518" t="str">
        <f>IF(E219="","",INDEX(CNTR_PFCMethod,MATCH(E218,CNTR_PFCSourceStreamNames,0)))</f>
        <v/>
      </c>
      <c r="V219" s="30"/>
      <c r="W219" s="494"/>
      <c r="X219" s="30"/>
      <c r="Y219" s="30"/>
      <c r="Z219" s="30"/>
      <c r="AA219" s="30"/>
      <c r="AB219" s="342"/>
      <c r="AC219" s="27" t="s">
        <v>308</v>
      </c>
      <c r="AD219" s="30"/>
      <c r="AE219" s="30"/>
      <c r="AF219" s="30"/>
      <c r="AG219" s="30"/>
      <c r="AH219" s="30"/>
      <c r="AI219" s="27" t="s">
        <v>315</v>
      </c>
      <c r="AJ219" s="30"/>
      <c r="AK219" s="30"/>
      <c r="AL219" s="30"/>
      <c r="AM219" s="30"/>
      <c r="AN219" s="27" t="s">
        <v>219</v>
      </c>
      <c r="AO219" s="30"/>
      <c r="AP219" s="30"/>
      <c r="AQ219" s="30"/>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0"/>
      <c r="BJ219" s="30"/>
      <c r="BK219" s="23"/>
    </row>
    <row r="220" spans="1:63" s="1117" customFormat="1" ht="5.0999999999999996" hidden="1" customHeight="1">
      <c r="A220" s="58"/>
      <c r="B220" s="790"/>
      <c r="C220" s="166"/>
      <c r="D220" s="166"/>
      <c r="E220" s="166"/>
      <c r="F220" s="166"/>
      <c r="G220" s="166"/>
      <c r="H220" s="142"/>
      <c r="I220" s="142"/>
      <c r="J220" s="142"/>
      <c r="K220" s="142"/>
      <c r="L220" s="142"/>
      <c r="M220" s="143"/>
      <c r="N220" s="143"/>
      <c r="O220" s="733"/>
      <c r="P220" s="33"/>
      <c r="Q220" s="30"/>
      <c r="R220" s="489"/>
      <c r="S220" s="30"/>
      <c r="T220" s="30"/>
      <c r="U220" s="30"/>
      <c r="V220" s="30"/>
      <c r="W220" s="494"/>
      <c r="X220" s="30"/>
      <c r="Y220" s="30"/>
      <c r="Z220" s="30"/>
      <c r="AA220" s="30"/>
      <c r="AB220" s="342"/>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7" customFormat="1" ht="12.75" hidden="1" customHeight="1">
      <c r="A221" s="58"/>
      <c r="B221" s="790"/>
      <c r="C221" s="166"/>
      <c r="D221" s="166"/>
      <c r="E221" s="1550" t="str">
        <f>IF(E218="","",HYPERLINK("#JUMP_14",EUconst_FurtherGuidancePoint1))</f>
        <v/>
      </c>
      <c r="F221" s="1550"/>
      <c r="G221" s="1550"/>
      <c r="H221" s="1550"/>
      <c r="I221" s="1550"/>
      <c r="J221" s="1550"/>
      <c r="K221" s="1550"/>
      <c r="L221" s="1550"/>
      <c r="M221" s="143"/>
      <c r="N221" s="143"/>
      <c r="O221" s="733"/>
      <c r="P221" s="33"/>
      <c r="Q221" s="30"/>
      <c r="R221" s="489"/>
      <c r="S221" s="30"/>
      <c r="T221" s="30"/>
      <c r="U221" s="30"/>
      <c r="V221" s="30"/>
      <c r="W221" s="494"/>
      <c r="X221" s="30"/>
      <c r="Y221" s="30"/>
      <c r="Z221" s="30"/>
      <c r="AA221" s="30"/>
      <c r="AB221" s="342"/>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7" customFormat="1" ht="5.0999999999999996" hidden="1" customHeight="1">
      <c r="A222" s="58"/>
      <c r="B222" s="790"/>
      <c r="C222" s="166"/>
      <c r="D222" s="166"/>
      <c r="E222" s="166"/>
      <c r="F222" s="166"/>
      <c r="G222" s="166"/>
      <c r="H222" s="142"/>
      <c r="I222" s="142"/>
      <c r="J222" s="142"/>
      <c r="K222" s="142"/>
      <c r="L222" s="142"/>
      <c r="M222" s="143"/>
      <c r="N222" s="143"/>
      <c r="O222" s="733"/>
      <c r="P222" s="33"/>
      <c r="Q222" s="30"/>
      <c r="R222" s="489"/>
      <c r="S222" s="30"/>
      <c r="T222" s="30"/>
      <c r="U222" s="30"/>
      <c r="V222" s="30"/>
      <c r="W222" s="494"/>
      <c r="X222" s="30"/>
      <c r="Y222" s="30"/>
      <c r="Z222" s="30"/>
      <c r="AA222" s="30"/>
      <c r="AB222" s="342"/>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7" customFormat="1" ht="12.75" hidden="1" customHeight="1" thickBot="1">
      <c r="A223" s="58"/>
      <c r="B223" s="790"/>
      <c r="C223" s="166"/>
      <c r="D223" s="166"/>
      <c r="E223" s="166"/>
      <c r="F223" s="506" t="str">
        <f>Translations!$B$333</f>
        <v>Pakopa</v>
      </c>
      <c r="G223" s="1557" t="str">
        <f>Translations!$B$672</f>
        <v>pakopos aprašas</v>
      </c>
      <c r="H223" s="1557"/>
      <c r="I223" s="1555" t="str">
        <f>Translations!$B$158</f>
        <v>Vienetas</v>
      </c>
      <c r="J223" s="1555"/>
      <c r="K223" s="1555" t="str">
        <f>Translations!$B$673</f>
        <v>Vertė</v>
      </c>
      <c r="L223" s="1555"/>
      <c r="M223" s="507" t="str">
        <f>Translations!$B$610</f>
        <v>klaida</v>
      </c>
      <c r="N223" s="142"/>
      <c r="O223" s="733"/>
      <c r="P223" s="508"/>
      <c r="Q223" s="30"/>
      <c r="R223" s="489"/>
      <c r="S223" s="30"/>
      <c r="T223" s="509" t="s">
        <v>303</v>
      </c>
      <c r="U223" s="30"/>
      <c r="V223" s="30"/>
      <c r="W223" s="494" t="s">
        <v>566</v>
      </c>
      <c r="X223" s="494" t="s">
        <v>318</v>
      </c>
      <c r="Y223" s="30"/>
      <c r="Z223" s="30"/>
      <c r="AA223" s="505" t="s">
        <v>309</v>
      </c>
      <c r="AB223" s="342"/>
      <c r="AC223" s="492" t="s">
        <v>306</v>
      </c>
      <c r="AD223" s="504" t="s">
        <v>569</v>
      </c>
      <c r="AE223" s="504" t="s">
        <v>568</v>
      </c>
      <c r="AF223" s="510"/>
      <c r="AG223" s="510"/>
      <c r="AH223" s="30"/>
      <c r="AI223" s="492"/>
      <c r="AJ223" s="492"/>
      <c r="AK223" s="492"/>
      <c r="AL223" s="492"/>
      <c r="AM223" s="492"/>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3" t="s">
        <v>262</v>
      </c>
      <c r="BK223" s="23"/>
    </row>
    <row r="224" spans="1:63" s="1117" customFormat="1" ht="12.75" hidden="1" customHeight="1" thickBot="1">
      <c r="A224" s="58"/>
      <c r="B224" s="790"/>
      <c r="C224" s="814" t="s">
        <v>4</v>
      </c>
      <c r="D224" s="512" t="str">
        <f>Translations!$B$622</f>
        <v>VD:</v>
      </c>
      <c r="E224" s="513"/>
      <c r="F224" s="402"/>
      <c r="G224" s="1532" t="str">
        <f>IF(OR(ISBLANK(F224),F224=EUconst_NoTier),"",IF(X224=0,EUconst_NA,IF(ISERROR(X224),"",X224)))</f>
        <v/>
      </c>
      <c r="H224" s="1533"/>
      <c r="I224" s="1619" t="str">
        <f>EUconst_t</f>
        <v>t</v>
      </c>
      <c r="J224" s="1620"/>
      <c r="K224" s="1630"/>
      <c r="L224" s="1631"/>
      <c r="M224" s="709" t="str">
        <f>IF(AND(E219&lt;&gt;"",OR(F224="",K224=""),W224&lt;&gt;EUconst_NA),EUconst_ERR_Incomplete,IF(COUNTIF(AI224:AL224,TRUE)&gt;0,EUconst_ERR_Inconsistent,""))</f>
        <v/>
      </c>
      <c r="N224" s="142"/>
      <c r="O224" s="733"/>
      <c r="P224" s="644"/>
      <c r="Q224" s="30"/>
      <c r="R224" s="514" t="str">
        <f>EUconst_CNTR_ActivityData&amp;E219</f>
        <v>ActivityData_</v>
      </c>
      <c r="S224" s="497"/>
      <c r="T224" s="514" t="str">
        <f>IF(E218="","",INDEX(B_InstallationDescription!$I$71:$I$145,MATCH(S218,B_InstallationDescription!$D$71:$D$145,0)))</f>
        <v/>
      </c>
      <c r="U224" s="30"/>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0"/>
      <c r="AE224" s="518">
        <f>IF(W224=EUconst_NA,1,IF(COUNT(K224:L224)=0,0,IF(L224="",K224,L224)))</f>
        <v>0</v>
      </c>
      <c r="AF224" s="510" t="s">
        <v>311</v>
      </c>
      <c r="AG224" s="510"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4" t="b">
        <f>OR(CNTR_PFCRelevant=EUconst_NotRelevant,AND(COUNTA(CNTR_ListRelevantSections)&gt;0,E218=""))</f>
        <v>1</v>
      </c>
      <c r="BK224" s="23"/>
    </row>
    <row r="225" spans="1:63" s="1117" customFormat="1" ht="5.0999999999999996" hidden="1" customHeight="1">
      <c r="A225" s="58"/>
      <c r="B225" s="790"/>
      <c r="C225" s="814"/>
      <c r="D225" s="306"/>
      <c r="E225" s="142"/>
      <c r="F225" s="143"/>
      <c r="G225" s="143"/>
      <c r="H225" s="143" t="s">
        <v>236</v>
      </c>
      <c r="I225" s="525"/>
      <c r="J225" s="525"/>
      <c r="K225" s="143"/>
      <c r="L225" s="143"/>
      <c r="M225" s="710"/>
      <c r="N225" s="142"/>
      <c r="O225" s="733"/>
      <c r="P225" s="33"/>
      <c r="Q225" s="30"/>
      <c r="R225" s="155"/>
      <c r="S225" s="497"/>
      <c r="T225" s="30"/>
      <c r="U225" s="30"/>
      <c r="V225" s="497"/>
      <c r="W225" s="526"/>
      <c r="X225" s="30"/>
      <c r="Y225" s="30"/>
      <c r="Z225" s="30"/>
      <c r="AA225" s="30"/>
      <c r="AB225" s="342"/>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3"/>
      <c r="BK225" s="23"/>
    </row>
    <row r="226" spans="1:63" s="1117" customFormat="1" ht="12.75" hidden="1" customHeight="1">
      <c r="A226" s="58"/>
      <c r="B226" s="790"/>
      <c r="C226" s="814" t="s">
        <v>5</v>
      </c>
      <c r="D226" s="512" t="str">
        <f>Translations!$B$722</f>
        <v>A. Dažnis</v>
      </c>
      <c r="E226" s="513"/>
      <c r="F226" s="527"/>
      <c r="G226" s="1532" t="str">
        <f t="shared" ref="G226:G232" si="32">IF(OR(ISBLANK(F226),F226=EUconst_NoTier),"",IF(X226=0,EUconst_NotApplicable,IF(ISERROR(X226),"",X226)))</f>
        <v/>
      </c>
      <c r="H226" s="1556"/>
      <c r="I226" s="1624" t="str">
        <f>IF(W226=EUconst_NA,"",INDEX(PFCUnits,1))</f>
        <v>1/(vienoje elektrolizės vonioje per parą)</v>
      </c>
      <c r="J226" s="1625"/>
      <c r="K226" s="678" t="str">
        <f t="shared" ref="K226:K232" si="33">IF(L226="",AD226,"")</f>
        <v/>
      </c>
      <c r="L226" s="694"/>
      <c r="M226" s="709" t="str">
        <f>IF(AND(E219&lt;&gt;"",OR(F226="",L226=""),W226&lt;&gt;EUconst_NA),EUconst_ERR_Incomplete,IF(COUNTIF(AI226:AL226,TRUE)&gt;0,EUconst_ERR_Inconsistent,""))</f>
        <v/>
      </c>
      <c r="N226" s="495"/>
      <c r="O226" s="733"/>
      <c r="P226" s="33"/>
      <c r="Q226" s="30"/>
      <c r="R226" s="530" t="str">
        <f>R224</f>
        <v>ActivityData_</v>
      </c>
      <c r="S226" s="497"/>
      <c r="T226" s="657" t="str">
        <f>T224</f>
        <v/>
      </c>
      <c r="U226" s="30"/>
      <c r="V226" s="497">
        <v>1</v>
      </c>
      <c r="W226" s="672" t="str">
        <f>IF(E219="","",IF(U219&lt;&gt;V226,EUconst_NA,INDEX(EUwideConstants!$N:$N,MATCH(R226,EUwideConstants!$Q:$Q,0))))</f>
        <v/>
      </c>
      <c r="X226" s="533" t="str">
        <f>IF(ISBLANK(F226),"",IF(F226=EUconst_NA,"",INDEX(EUwideConstants!$H:$M,MATCH(R226,EUwideConstants!$Q:$Q,0),MATCH(F226,CNTR_TierList,0))))</f>
        <v/>
      </c>
      <c r="Y226" s="30"/>
      <c r="Z226" s="30"/>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0"/>
      <c r="AI226" s="30"/>
      <c r="AJ226" s="30"/>
      <c r="AK226" s="534" t="b">
        <f t="shared" ref="AK226:AK232" si="36">AND(L226&lt;&gt;"",W226=EUconst_NA)</f>
        <v>0</v>
      </c>
      <c r="AL226" s="30"/>
      <c r="AM226" s="30"/>
      <c r="AN226" s="30"/>
      <c r="AO226" s="493" t="s">
        <v>390</v>
      </c>
      <c r="AP226" s="493" t="s">
        <v>391</v>
      </c>
      <c r="AQ226" s="30"/>
      <c r="AR226" s="30"/>
      <c r="AS226" s="30"/>
      <c r="AT226" s="30"/>
      <c r="AU226" s="30"/>
      <c r="AV226" s="30"/>
      <c r="AW226" s="30"/>
      <c r="AX226" s="30"/>
      <c r="AY226" s="30"/>
      <c r="AZ226" s="30"/>
      <c r="BA226" s="30"/>
      <c r="BB226" s="30"/>
      <c r="BC226" s="30"/>
      <c r="BD226" s="30"/>
      <c r="BE226" s="30"/>
      <c r="BF226" s="30"/>
      <c r="BG226" s="30"/>
      <c r="BH226" s="30"/>
      <c r="BI226" s="30"/>
      <c r="BJ226" s="534" t="b">
        <f>OR(BJ224,W226=EUconst_NA)</f>
        <v>1</v>
      </c>
      <c r="BK226" s="23"/>
    </row>
    <row r="227" spans="1:63" s="1117" customFormat="1" ht="12.75" hidden="1" customHeight="1" thickBot="1">
      <c r="A227" s="58"/>
      <c r="B227" s="790"/>
      <c r="C227" s="814" t="s">
        <v>196</v>
      </c>
      <c r="D227" s="512" t="str">
        <f>Translations!$B$724</f>
        <v>A. Trukmė</v>
      </c>
      <c r="E227" s="513"/>
      <c r="F227" s="645"/>
      <c r="G227" s="1532" t="str">
        <f t="shared" si="32"/>
        <v/>
      </c>
      <c r="H227" s="1556"/>
      <c r="I227" s="1626" t="str">
        <f>IF(W227=EUconst_NA,"",INDEX(PFCUnits,2))</f>
        <v>min.</v>
      </c>
      <c r="J227" s="1627"/>
      <c r="K227" s="679" t="str">
        <f t="shared" si="33"/>
        <v/>
      </c>
      <c r="L227" s="695"/>
      <c r="M227" s="709" t="str">
        <f>IF(AND(E219&lt;&gt;"",OR(F227="",L227=""),W227&lt;&gt;EUconst_NA),EUconst_ERR_Incomplete,IF(COUNTIF(AI227:AL227,TRUE)&gt;0,EUconst_ERR_Inconsistent,""))</f>
        <v/>
      </c>
      <c r="N227" s="495"/>
      <c r="O227" s="733"/>
      <c r="P227" s="33"/>
      <c r="Q227" s="30"/>
      <c r="R227" s="552" t="str">
        <f>R226</f>
        <v>ActivityData_</v>
      </c>
      <c r="S227" s="497"/>
      <c r="T227" s="658" t="str">
        <f t="shared" ref="T227:T232" si="37">T226</f>
        <v/>
      </c>
      <c r="U227" s="30"/>
      <c r="V227" s="497">
        <v>1</v>
      </c>
      <c r="W227" s="671" t="str">
        <f>IF(E219="","",IF(U219&lt;&gt;V227,EUconst_NA,INDEX(EUwideConstants!$N:$N,MATCH(R227,EUwideConstants!$Q:$Q,0))))</f>
        <v/>
      </c>
      <c r="X227" s="555" t="str">
        <f>IF(ISBLANK(F227),"",IF(F227=EUconst_NA,"",INDEX(EUwideConstants!$H:$M,MATCH(R227,EUwideConstants!$Q:$Q,0),MATCH(F227,CNTR_TierList,0))))</f>
        <v/>
      </c>
      <c r="Y227" s="30"/>
      <c r="Z227" s="30"/>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0"/>
      <c r="AI227" s="30"/>
      <c r="AJ227" s="30"/>
      <c r="AK227" s="660" t="b">
        <f t="shared" si="36"/>
        <v>0</v>
      </c>
      <c r="AL227" s="30"/>
      <c r="AM227" s="30"/>
      <c r="AN227" s="547" t="s">
        <v>446</v>
      </c>
      <c r="AO227" s="546" t="str">
        <f>IF(ISNUMBER(U219),AE224*AE226*AE227*AE228/1000,"")</f>
        <v/>
      </c>
      <c r="AP227" s="524"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60" t="b">
        <f>OR(BJ224,W227=EUconst_NA)</f>
        <v>1</v>
      </c>
      <c r="BK227" s="23"/>
    </row>
    <row r="228" spans="1:63" s="1117" customFormat="1" ht="12.75" hidden="1" customHeight="1" thickBot="1">
      <c r="A228" s="58"/>
      <c r="B228" s="790"/>
      <c r="C228" s="814" t="s">
        <v>197</v>
      </c>
      <c r="D228" s="652" t="str">
        <f>Translations!$B$726</f>
        <v>A. NITF(CF4)</v>
      </c>
      <c r="E228" s="653"/>
      <c r="F228" s="548"/>
      <c r="G228" s="1628" t="str">
        <f t="shared" si="32"/>
        <v/>
      </c>
      <c r="H228" s="1629"/>
      <c r="I228" s="1626" t="str">
        <f>IF(W228=EUconst_NA,"",INDEX(PFCUnits,3))</f>
        <v>(kg CF4/t Al)/(min./vienoje elektrolizės vonioje per parą)</v>
      </c>
      <c r="J228" s="1627"/>
      <c r="K228" s="680" t="str">
        <f t="shared" si="33"/>
        <v/>
      </c>
      <c r="L228" s="683"/>
      <c r="M228" s="711" t="str">
        <f>IF(AND(E219&lt;&gt;"",OR(F228="",COUNT(K228:L228)=0),W228&lt;&gt;EUconst_NA),EUconst_ERR_Incomplete,IF(COUNTIF(AI228:AL228,TRUE)&gt;0,EUconst_ERR_Inconsistent,""))</f>
        <v/>
      </c>
      <c r="N228" s="142"/>
      <c r="O228" s="733"/>
      <c r="P228" s="33"/>
      <c r="Q228" s="30"/>
      <c r="R228" s="552" t="str">
        <f>EUconst_CNTR_EF&amp;$E219</f>
        <v>EF_</v>
      </c>
      <c r="S228" s="497"/>
      <c r="T228" s="658" t="str">
        <f t="shared" si="37"/>
        <v/>
      </c>
      <c r="U228" s="30"/>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0"/>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0"/>
      <c r="AI228" s="30"/>
      <c r="AJ228" s="30"/>
      <c r="AK228" s="660" t="b">
        <f t="shared" si="36"/>
        <v>0</v>
      </c>
      <c r="AL228" s="30"/>
      <c r="AM228" s="30"/>
      <c r="AN228" s="547" t="s">
        <v>447</v>
      </c>
      <c r="AO228" s="546">
        <f>IF(AND(ISNUMBER(AO227),AO227&gt;0),AO227*AE232,0)</f>
        <v>0</v>
      </c>
      <c r="AP228" s="524">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60" t="b">
        <f>OR(BJ224,W228=EUconst_NA)</f>
        <v>1</v>
      </c>
      <c r="BK228" s="23"/>
    </row>
    <row r="229" spans="1:63" s="1117" customFormat="1" ht="12.75" hidden="1" customHeight="1" thickBot="1">
      <c r="A229" s="58"/>
      <c r="B229" s="790"/>
      <c r="C229" s="814" t="s">
        <v>198</v>
      </c>
      <c r="D229" s="650" t="str">
        <f>Translations!$B$728</f>
        <v>B. AEV</v>
      </c>
      <c r="E229" s="651"/>
      <c r="F229" s="645"/>
      <c r="G229" s="1622" t="str">
        <f t="shared" si="32"/>
        <v/>
      </c>
      <c r="H229" s="1623"/>
      <c r="I229" s="1626" t="str">
        <f>IF(W229=EUconst_NA,"",INDEX(PFCUnits,4))</f>
        <v>mV</v>
      </c>
      <c r="J229" s="1627"/>
      <c r="K229" s="679" t="str">
        <f t="shared" si="33"/>
        <v/>
      </c>
      <c r="L229" s="695"/>
      <c r="M229" s="712" t="str">
        <f>IF(AND(E219&lt;&gt;"",OR(F229="",L229=""),W229&lt;&gt;EUconst_NA),EUconst_ERR_Incomplete,IF(COUNTIF(AI229:AL229,TRUE)&gt;0,EUconst_ERR_Inconsistent,""))</f>
        <v/>
      </c>
      <c r="N229" s="142"/>
      <c r="O229" s="733"/>
      <c r="P229" s="644"/>
      <c r="Q229" s="30"/>
      <c r="R229" s="552" t="str">
        <f>R224</f>
        <v>ActivityData_</v>
      </c>
      <c r="S229" s="497"/>
      <c r="T229" s="658" t="str">
        <f t="shared" si="37"/>
        <v/>
      </c>
      <c r="U229" s="30"/>
      <c r="V229" s="497">
        <v>2</v>
      </c>
      <c r="W229" s="671" t="str">
        <f>IF(E219="","",IF(U219&lt;&gt;V229,EUconst_NA,INDEX(EUwideConstants!$N:$N,MATCH(R229,EUwideConstants!$Q:$Q,0))))</f>
        <v/>
      </c>
      <c r="X229" s="555" t="str">
        <f>IF(ISBLANK(F229),"",IF(F229=EUconst_NA,"",INDEX(EUwideConstants!$H:$M,MATCH(R229,EUwideConstants!$Q:$Q,0),MATCH(F229,CNTR_TierList,0))))</f>
        <v/>
      </c>
      <c r="Y229" s="30"/>
      <c r="Z229" s="30"/>
      <c r="AA229" s="557" t="b">
        <f>AND(AA224,W229&lt;&gt;EUconst_NA)</f>
        <v>0</v>
      </c>
      <c r="AB229" s="342"/>
      <c r="AC229" s="676"/>
      <c r="AD229" s="676" t="str">
        <f>""</f>
        <v/>
      </c>
      <c r="AE229" s="660">
        <f t="shared" si="34"/>
        <v>0</v>
      </c>
      <c r="AF229" s="660" t="b">
        <f>AND(AA229=TRUE,OR(ISNUMBER(L229),NOT(ISNUMBER(Y229))))</f>
        <v>0</v>
      </c>
      <c r="AG229" s="660" t="b">
        <f t="shared" si="35"/>
        <v>0</v>
      </c>
      <c r="AH229" s="30"/>
      <c r="AI229" s="30"/>
      <c r="AJ229" s="30"/>
      <c r="AK229" s="660" t="b">
        <f t="shared" si="36"/>
        <v>0</v>
      </c>
      <c r="AL229" s="30"/>
      <c r="AM229" s="30"/>
      <c r="AN229" s="547" t="s">
        <v>446</v>
      </c>
      <c r="AO229" s="546" t="str">
        <f>IF(ISNUMBER(AO227),AO227*AE237,"")</f>
        <v/>
      </c>
      <c r="AP229" s="524"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60" t="b">
        <f>OR(BJ224,W229=EUconst_NA)</f>
        <v>1</v>
      </c>
      <c r="BK229" s="23"/>
    </row>
    <row r="230" spans="1:63" s="1117" customFormat="1" ht="12.75" hidden="1" customHeight="1" thickBot="1">
      <c r="A230" s="58"/>
      <c r="B230" s="790"/>
      <c r="C230" s="777" t="s">
        <v>199</v>
      </c>
      <c r="D230" s="512" t="str">
        <f>Translations!$B$730</f>
        <v>B. EN</v>
      </c>
      <c r="E230" s="513"/>
      <c r="F230" s="548"/>
      <c r="G230" s="1532" t="str">
        <f t="shared" si="32"/>
        <v/>
      </c>
      <c r="H230" s="1533"/>
      <c r="I230" s="1626" t="str">
        <f>IF(W230=EUconst_NA,"","-")</f>
        <v>-</v>
      </c>
      <c r="J230" s="1627"/>
      <c r="K230" s="681" t="str">
        <f t="shared" si="33"/>
        <v/>
      </c>
      <c r="L230" s="571"/>
      <c r="M230" s="709" t="str">
        <f>IF(AND(E219&lt;&gt;"",OR(F230="",L230=""),W230&lt;&gt;EUconst_NA),EUconst_ERR_Incomplete,IF(COUNTIF(AI230:AL230,TRUE)&gt;0,EUconst_ERR_Inconsistent,""))</f>
        <v/>
      </c>
      <c r="N230" s="142"/>
      <c r="O230" s="733"/>
      <c r="P230" s="644"/>
      <c r="Q230" s="30"/>
      <c r="R230" s="552" t="str">
        <f>R229</f>
        <v>ActivityData_</v>
      </c>
      <c r="S230" s="497"/>
      <c r="T230" s="658" t="str">
        <f t="shared" si="37"/>
        <v/>
      </c>
      <c r="U230" s="30"/>
      <c r="V230" s="497">
        <v>2</v>
      </c>
      <c r="W230" s="671" t="str">
        <f>IF(E219="","",IF(U219&lt;&gt;V230,EUconst_NA,INDEX(EUwideConstants!$N:$N,MATCH(R230,EUwideConstants!$Q:$Q,0))))</f>
        <v/>
      </c>
      <c r="X230" s="555" t="str">
        <f>IF(ISBLANK(F230),"",IF(F230=EUconst_NA,"",INDEX(EUwideConstants!$H:$M,MATCH(R230,EUwideConstants!$Q:$Q,0),MATCH(F230,CNTR_TierList,0))))</f>
        <v/>
      </c>
      <c r="Y230" s="30"/>
      <c r="Z230" s="30"/>
      <c r="AA230" s="557" t="b">
        <f>AND(AA224,W230&lt;&gt;EUconst_NA)</f>
        <v>0</v>
      </c>
      <c r="AB230" s="342"/>
      <c r="AC230" s="676"/>
      <c r="AD230" s="676" t="str">
        <f>""</f>
        <v/>
      </c>
      <c r="AE230" s="660">
        <f t="shared" si="34"/>
        <v>0</v>
      </c>
      <c r="AF230" s="660" t="b">
        <f>AND(AA230=TRUE,OR(ISNUMBER(L230),NOT(ISNUMBER(Y230))))</f>
        <v>0</v>
      </c>
      <c r="AG230" s="660" t="b">
        <f t="shared" si="35"/>
        <v>0</v>
      </c>
      <c r="AH230" s="30"/>
      <c r="AI230" s="30"/>
      <c r="AJ230" s="30"/>
      <c r="AK230" s="708" t="b">
        <f t="shared" si="36"/>
        <v>0</v>
      </c>
      <c r="AL230" s="524" t="b">
        <f>L230&gt;100%</f>
        <v>0</v>
      </c>
      <c r="AM230" s="30"/>
      <c r="AN230" s="547" t="s">
        <v>447</v>
      </c>
      <c r="AO230" s="546">
        <f>IF(ISNUMBER(AO228),AO228*AE238,"")</f>
        <v>0</v>
      </c>
      <c r="AP230" s="524">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60" t="b">
        <f>OR(BJ224,W230=EUconst_NA)</f>
        <v>1</v>
      </c>
      <c r="BK230" s="23"/>
    </row>
    <row r="231" spans="1:63" s="1117" customFormat="1" ht="12.75" hidden="1" customHeight="1" thickBot="1">
      <c r="A231" s="58"/>
      <c r="B231" s="790"/>
      <c r="C231" s="814" t="s">
        <v>200</v>
      </c>
      <c r="D231" s="652" t="str">
        <f>Translations!$B$732</f>
        <v>B. VĮK</v>
      </c>
      <c r="E231" s="653"/>
      <c r="F231" s="548"/>
      <c r="G231" s="1628" t="str">
        <f t="shared" si="32"/>
        <v/>
      </c>
      <c r="H231" s="1629"/>
      <c r="I231" s="1626" t="str">
        <f>IF(W231=EUconst_NA,"",INDEX(PFCUnits,6))</f>
        <v>(kg CF4)/(t Al mV)</v>
      </c>
      <c r="J231" s="1627"/>
      <c r="K231" s="681" t="str">
        <f t="shared" si="33"/>
        <v/>
      </c>
      <c r="L231" s="684"/>
      <c r="M231" s="711" t="str">
        <f>IF(AND(E219&lt;&gt;"",OR(F231="",COUNT(K231:L231)=0),W231&lt;&gt;EUconst_NA),EUconst_ERR_Incomplete,IF(COUNTIF(AI231:AL231,TRUE)&gt;0,EUconst_ERR_Inconsistent,""))</f>
        <v/>
      </c>
      <c r="N231" s="142"/>
      <c r="O231" s="733"/>
      <c r="P231" s="33"/>
      <c r="Q231" s="30"/>
      <c r="R231" s="552" t="str">
        <f>EUconst_CNTR_EF&amp;E219</f>
        <v>EF_</v>
      </c>
      <c r="S231" s="497"/>
      <c r="T231" s="658" t="str">
        <f t="shared" si="37"/>
        <v/>
      </c>
      <c r="U231" s="30"/>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0"/>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0"/>
      <c r="AI231" s="30"/>
      <c r="AJ231" s="30"/>
      <c r="AK231" s="660"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60" t="b">
        <f>OR(BJ224,W231=EUconst_NA)</f>
        <v>1</v>
      </c>
      <c r="BK231" s="23"/>
    </row>
    <row r="232" spans="1:63" s="1117" customFormat="1" ht="12.75" hidden="1" customHeight="1" thickBot="1">
      <c r="A232" s="58"/>
      <c r="B232" s="790"/>
      <c r="C232" s="814" t="s">
        <v>329</v>
      </c>
      <c r="D232" s="650" t="str">
        <f>Translations!$B$734</f>
        <v>F(C2F6)</v>
      </c>
      <c r="E232" s="651"/>
      <c r="F232" s="597"/>
      <c r="G232" s="1622" t="str">
        <f t="shared" si="32"/>
        <v/>
      </c>
      <c r="H232" s="1623"/>
      <c r="I232" s="1617" t="str">
        <f>IF(W232=EUconst_NA,"",INDEX(PFCUnits,7))</f>
        <v>t C2F6/t CF4</v>
      </c>
      <c r="J232" s="1618"/>
      <c r="K232" s="682" t="str">
        <f t="shared" si="33"/>
        <v/>
      </c>
      <c r="L232" s="685"/>
      <c r="M232" s="712" t="str">
        <f>IF(AND(E219&lt;&gt;"",OR(F232="",COUNT(K232:L232)=0),W232&lt;&gt;EUconst_NA),EUconst_ERR_Incomplete,IF(COUNTIF(AI232:AL232,TRUE)&gt;0,EUconst_ERR_Inconsistent,""))</f>
        <v/>
      </c>
      <c r="N232" s="142"/>
      <c r="O232" s="733"/>
      <c r="P232" s="33"/>
      <c r="Q232" s="30"/>
      <c r="R232" s="599" t="str">
        <f>EUconst_CNTR_EF&amp;E219</f>
        <v>EF_</v>
      </c>
      <c r="S232" s="497"/>
      <c r="T232" s="659" t="str">
        <f t="shared" si="37"/>
        <v/>
      </c>
      <c r="U232" s="30"/>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0"/>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0"/>
      <c r="AI232" s="30"/>
      <c r="AJ232" s="30"/>
      <c r="AK232" s="582"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2" t="b">
        <f>OR(BJ224,W232=EUconst_NA)</f>
        <v>1</v>
      </c>
      <c r="BK232" s="23"/>
    </row>
    <row r="233" spans="1:63" s="1117" customFormat="1" ht="5.0999999999999996" hidden="1" customHeight="1">
      <c r="A233" s="58"/>
      <c r="B233" s="790"/>
      <c r="C233" s="166"/>
      <c r="D233" s="180"/>
      <c r="E233" s="142"/>
      <c r="F233" s="142"/>
      <c r="G233" s="142"/>
      <c r="H233" s="142"/>
      <c r="I233" s="142"/>
      <c r="J233" s="142"/>
      <c r="K233" s="142"/>
      <c r="L233" s="142"/>
      <c r="M233" s="704"/>
      <c r="N233" s="142"/>
      <c r="O233" s="733"/>
      <c r="P233" s="33"/>
      <c r="Q233" s="174"/>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7" customFormat="1" ht="12.75" hidden="1" customHeight="1">
      <c r="A234" s="58"/>
      <c r="B234" s="790"/>
      <c r="C234" s="777" t="s">
        <v>330</v>
      </c>
      <c r="D234" s="646" t="str">
        <f>Translations!$B$748</f>
        <v>Išmestas CF4 kiekis</v>
      </c>
      <c r="E234" s="647"/>
      <c r="F234" s="513"/>
      <c r="G234" s="513"/>
      <c r="H234" s="513"/>
      <c r="I234" s="1624" t="str">
        <f>EUconst_t</f>
        <v>t</v>
      </c>
      <c r="J234" s="1625"/>
      <c r="K234" s="513"/>
      <c r="L234" s="955" t="str">
        <f>IF(ISNUMBER(U219),INDEX(AO227:AP227,U219),"")</f>
        <v/>
      </c>
      <c r="M234" s="704"/>
      <c r="N234" s="142"/>
      <c r="O234" s="733"/>
      <c r="P234" s="33"/>
      <c r="Q234" s="174"/>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7" customFormat="1" ht="12.75" hidden="1" customHeight="1" thickBot="1">
      <c r="A235" s="58"/>
      <c r="B235" s="790"/>
      <c r="C235" s="777" t="s">
        <v>454</v>
      </c>
      <c r="D235" s="646" t="str">
        <f>Translations!$B$749</f>
        <v>Išmestas C2F6 kiekis</v>
      </c>
      <c r="E235" s="513"/>
      <c r="F235" s="513"/>
      <c r="G235" s="513"/>
      <c r="H235" s="513"/>
      <c r="I235" s="1617" t="str">
        <f>EUconst_t</f>
        <v>t</v>
      </c>
      <c r="J235" s="1618"/>
      <c r="K235" s="513"/>
      <c r="L235" s="956" t="str">
        <f>IF(ISNUMBER(U219),INDEX(AO228:AP228,U219),"")</f>
        <v/>
      </c>
      <c r="M235" s="704"/>
      <c r="N235" s="142"/>
      <c r="O235" s="733"/>
      <c r="P235" s="33"/>
      <c r="Q235" s="174"/>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7" customFormat="1" ht="5.0999999999999996" hidden="1" customHeight="1">
      <c r="A236" s="58"/>
      <c r="B236" s="790"/>
      <c r="C236" s="779"/>
      <c r="D236" s="180"/>
      <c r="E236" s="142"/>
      <c r="F236" s="142"/>
      <c r="G236" s="142"/>
      <c r="H236" s="142"/>
      <c r="I236" s="142"/>
      <c r="J236" s="142"/>
      <c r="K236" s="142"/>
      <c r="L236" s="142"/>
      <c r="M236" s="704"/>
      <c r="N236" s="142"/>
      <c r="O236" s="733"/>
      <c r="P236" s="33"/>
      <c r="Q236" s="174"/>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7" customFormat="1" ht="12.75" hidden="1" customHeight="1">
      <c r="A237" s="58"/>
      <c r="B237" s="790"/>
      <c r="C237" s="777" t="s">
        <v>455</v>
      </c>
      <c r="D237" s="646" t="str">
        <f>Translations!$B$736</f>
        <v>VAP(CF4)</v>
      </c>
      <c r="E237" s="647"/>
      <c r="F237" s="513"/>
      <c r="G237" s="513"/>
      <c r="H237" s="513"/>
      <c r="I237" s="1624" t="s">
        <v>444</v>
      </c>
      <c r="J237" s="1625"/>
      <c r="K237" s="648">
        <f>IF(L237="",7390,"")</f>
        <v>7390</v>
      </c>
      <c r="L237" s="968"/>
      <c r="M237" s="704"/>
      <c r="N237" s="142"/>
      <c r="O237" s="733"/>
      <c r="P237" s="644"/>
      <c r="Q237" s="174"/>
      <c r="R237" s="30"/>
      <c r="S237" s="30"/>
      <c r="T237" s="30"/>
      <c r="U237" s="30"/>
      <c r="V237" s="30"/>
      <c r="W237" s="30"/>
      <c r="X237" s="30"/>
      <c r="Y237" s="30"/>
      <c r="Z237" s="30"/>
      <c r="AA237" s="30"/>
      <c r="AB237" s="30"/>
      <c r="AC237" s="30"/>
      <c r="AD237" s="30"/>
      <c r="AE237" s="535">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1" t="b">
        <f>BJ224</f>
        <v>1</v>
      </c>
      <c r="BK237" s="23"/>
    </row>
    <row r="238" spans="1:63" s="1117" customFormat="1" ht="12.75" hidden="1" customHeight="1" thickBot="1">
      <c r="A238" s="58"/>
      <c r="B238" s="790"/>
      <c r="C238" s="777" t="s">
        <v>456</v>
      </c>
      <c r="D238" s="646" t="str">
        <f>Translations!$B$738</f>
        <v>VAP(C2F6)</v>
      </c>
      <c r="E238" s="647"/>
      <c r="F238" s="513"/>
      <c r="G238" s="513"/>
      <c r="H238" s="513"/>
      <c r="I238" s="1617" t="s">
        <v>445</v>
      </c>
      <c r="J238" s="1618"/>
      <c r="K238" s="649">
        <f>IF(L238="",12200,"")</f>
        <v>12200</v>
      </c>
      <c r="L238" s="969"/>
      <c r="M238" s="704"/>
      <c r="N238" s="142"/>
      <c r="O238" s="733"/>
      <c r="P238" s="33"/>
      <c r="Q238" s="174"/>
      <c r="R238" s="30"/>
      <c r="S238" s="30"/>
      <c r="T238" s="30"/>
      <c r="U238" s="30"/>
      <c r="V238" s="30"/>
      <c r="W238" s="30"/>
      <c r="X238" s="30"/>
      <c r="Y238" s="30"/>
      <c r="Z238" s="30"/>
      <c r="AA238" s="30"/>
      <c r="AB238" s="30"/>
      <c r="AC238" s="30"/>
      <c r="AD238" s="30"/>
      <c r="AE238" s="674">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80" t="b">
        <f>BJ237</f>
        <v>1</v>
      </c>
      <c r="BK238" s="23"/>
    </row>
    <row r="239" spans="1:63" s="1117" customFormat="1" ht="5.0999999999999996" hidden="1" customHeight="1">
      <c r="A239" s="58"/>
      <c r="B239" s="790"/>
      <c r="C239" s="779"/>
      <c r="D239" s="306"/>
      <c r="E239" s="495"/>
      <c r="F239" s="142"/>
      <c r="G239" s="142"/>
      <c r="H239" s="142"/>
      <c r="I239" s="142"/>
      <c r="J239" s="142"/>
      <c r="K239" s="142"/>
      <c r="L239" s="704"/>
      <c r="M239" s="704"/>
      <c r="N239" s="142"/>
      <c r="O239" s="733"/>
      <c r="P239" s="33"/>
      <c r="Q239" s="174"/>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7" customFormat="1" ht="12.75" hidden="1" customHeight="1">
      <c r="A240" s="58"/>
      <c r="B240" s="790"/>
      <c r="C240" s="777" t="s">
        <v>457</v>
      </c>
      <c r="D240" s="646" t="str">
        <f>Translations!$B$748</f>
        <v>Išmestas CF4 kiekis</v>
      </c>
      <c r="E240" s="647"/>
      <c r="F240" s="513"/>
      <c r="G240" s="513"/>
      <c r="H240" s="513"/>
      <c r="I240" s="1624" t="s">
        <v>260</v>
      </c>
      <c r="J240" s="1625"/>
      <c r="K240" s="513"/>
      <c r="L240" s="705" t="str">
        <f>IF(ISNUMBER(U219),INDEX(AO229:AP229,U219),"")</f>
        <v/>
      </c>
      <c r="M240" s="704"/>
      <c r="N240" s="142"/>
      <c r="O240" s="733"/>
      <c r="P240" s="644"/>
      <c r="Q240" s="174"/>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7" customFormat="1" ht="12.75" hidden="1" customHeight="1" thickBot="1">
      <c r="A241" s="58"/>
      <c r="B241" s="790"/>
      <c r="C241" s="777" t="s">
        <v>458</v>
      </c>
      <c r="D241" s="646" t="str">
        <f>Translations!$B$749</f>
        <v>Išmestas C2F6 kiekis</v>
      </c>
      <c r="E241" s="513"/>
      <c r="F241" s="513"/>
      <c r="G241" s="513"/>
      <c r="H241" s="513"/>
      <c r="I241" s="1617" t="s">
        <v>260</v>
      </c>
      <c r="J241" s="1618"/>
      <c r="K241" s="513"/>
      <c r="L241" s="706" t="str">
        <f>IF(ISNUMBER(U219),INDEX(AO230:AP230,U219),"")</f>
        <v/>
      </c>
      <c r="M241" s="704"/>
      <c r="N241" s="142"/>
      <c r="O241" s="733"/>
      <c r="P241" s="33"/>
      <c r="Q241" s="174"/>
      <c r="R241" s="30"/>
      <c r="S241" s="30"/>
      <c r="T241" s="30"/>
      <c r="U241" s="30"/>
      <c r="V241" s="30"/>
      <c r="W241" s="30"/>
      <c r="X241" s="30"/>
      <c r="Y241" s="30"/>
      <c r="Z241" s="30"/>
      <c r="AA241" s="30"/>
      <c r="AB241" s="30"/>
      <c r="AC241" s="30"/>
      <c r="AD241" s="30"/>
      <c r="AE241" s="492"/>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7" customFormat="1" ht="5.0999999999999996" hidden="1" customHeight="1">
      <c r="A242" s="58"/>
      <c r="B242" s="790"/>
      <c r="C242" s="779"/>
      <c r="D242" s="180"/>
      <c r="E242" s="142"/>
      <c r="F242" s="142"/>
      <c r="G242" s="142"/>
      <c r="H242" s="142"/>
      <c r="I242" s="142"/>
      <c r="J242" s="142"/>
      <c r="K242" s="142"/>
      <c r="L242" s="142"/>
      <c r="M242" s="704"/>
      <c r="N242" s="142"/>
      <c r="O242" s="733"/>
      <c r="P242" s="33"/>
      <c r="Q242" s="174"/>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7" customFormat="1" ht="12.75" hidden="1" customHeight="1" thickBot="1">
      <c r="A243" s="58"/>
      <c r="B243" s="790"/>
      <c r="C243" s="777" t="s">
        <v>459</v>
      </c>
      <c r="D243" s="646" t="str">
        <f>Translations!$B$167</f>
        <v>Surinkimo efektyvumas</v>
      </c>
      <c r="E243" s="513"/>
      <c r="F243" s="513"/>
      <c r="G243" s="513"/>
      <c r="H243" s="513"/>
      <c r="I243" s="1619" t="s">
        <v>261</v>
      </c>
      <c r="J243" s="1620"/>
      <c r="K243" s="513"/>
      <c r="L243" s="970"/>
      <c r="M243" s="709" t="str">
        <f>IF(AND(E219&lt;&gt;"",L243=""),EUconst_ERR_Incomplete,IF(COUNTIF(AI243:AL243,TRUE)&gt;0,EUconst_ERR_Inconsistent,""))</f>
        <v/>
      </c>
      <c r="N243" s="142"/>
      <c r="O243" s="733"/>
      <c r="P243" s="644"/>
      <c r="Q243" s="174"/>
      <c r="R243" s="30"/>
      <c r="S243" s="30"/>
      <c r="T243" s="30"/>
      <c r="U243" s="30"/>
      <c r="V243" s="30"/>
      <c r="W243" s="30"/>
      <c r="X243" s="30"/>
      <c r="Y243" s="30"/>
      <c r="Z243" s="30"/>
      <c r="AA243" s="30"/>
      <c r="AB243" s="30"/>
      <c r="AC243" s="30"/>
      <c r="AD243" s="30"/>
      <c r="AE243" s="30"/>
      <c r="AF243" s="30"/>
      <c r="AG243" s="30"/>
      <c r="AH243" s="30"/>
      <c r="AI243" s="30"/>
      <c r="AJ243" s="30"/>
      <c r="AK243" s="30"/>
      <c r="AL243" s="524"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4" t="b">
        <f>BJ224</f>
        <v>1</v>
      </c>
      <c r="BK243" s="23"/>
    </row>
    <row r="244" spans="1:63" s="1117" customFormat="1" ht="4.5" hidden="1" customHeight="1">
      <c r="A244" s="58"/>
      <c r="B244" s="790"/>
      <c r="C244" s="166"/>
      <c r="D244" s="180"/>
      <c r="E244" s="142"/>
      <c r="F244" s="142"/>
      <c r="G244" s="142"/>
      <c r="H244" s="142"/>
      <c r="I244" s="142"/>
      <c r="J244" s="142"/>
      <c r="K244" s="142"/>
      <c r="L244" s="142"/>
      <c r="M244" s="142"/>
      <c r="N244" s="142"/>
      <c r="O244" s="733"/>
      <c r="P244" s="33"/>
      <c r="Q244" s="174"/>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7" customFormat="1" ht="12.75" hidden="1" customHeight="1" thickBot="1">
      <c r="A245" s="58"/>
      <c r="B245" s="790"/>
      <c r="C245" s="166"/>
      <c r="D245" s="1558" t="str">
        <f>Translations!$B$674</f>
        <v>Pakopos galioja nuo:</v>
      </c>
      <c r="E245" s="1558"/>
      <c r="F245" s="1559"/>
      <c r="G245" s="616"/>
      <c r="H245" s="615" t="str">
        <f>Translations!$B$675</f>
        <v>iki:</v>
      </c>
      <c r="I245" s="616"/>
      <c r="J245" s="142"/>
      <c r="K245" s="142"/>
      <c r="L245" s="142"/>
      <c r="M245" s="142"/>
      <c r="N245" s="142"/>
      <c r="O245" s="733"/>
      <c r="P245" s="33"/>
      <c r="Q245" s="174"/>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4" t="b">
        <f>BJ224</f>
        <v>1</v>
      </c>
      <c r="BK245" s="23"/>
    </row>
    <row r="246" spans="1:63" s="1117" customFormat="1" ht="5.0999999999999996" hidden="1" customHeight="1">
      <c r="A246" s="30"/>
      <c r="B246" s="572"/>
      <c r="C246" s="142"/>
      <c r="D246" s="180"/>
      <c r="E246" s="142"/>
      <c r="F246" s="142"/>
      <c r="G246" s="142"/>
      <c r="H246" s="142"/>
      <c r="I246" s="142"/>
      <c r="J246" s="142"/>
      <c r="K246" s="142"/>
      <c r="L246" s="142"/>
      <c r="M246" s="142"/>
      <c r="N246" s="142"/>
      <c r="O246" s="573"/>
      <c r="P246" s="497"/>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7" customFormat="1" ht="12.75" hidden="1" customHeight="1" thickBot="1">
      <c r="A247" s="30"/>
      <c r="B247" s="572"/>
      <c r="C247" s="142"/>
      <c r="D247" s="1534" t="str">
        <f>Translations!$B$160</f>
        <v>Pastabos:</v>
      </c>
      <c r="E247" s="1535"/>
      <c r="F247" s="1621"/>
      <c r="G247" s="1621"/>
      <c r="H247" s="1621"/>
      <c r="I247" s="1621"/>
      <c r="J247" s="1621"/>
      <c r="K247" s="1621"/>
      <c r="L247" s="1621"/>
      <c r="M247" s="1621"/>
      <c r="N247" s="1621"/>
      <c r="O247" s="573"/>
      <c r="P247" s="497"/>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4" t="b">
        <f>BJ245</f>
        <v>1</v>
      </c>
      <c r="BK247" s="23"/>
    </row>
    <row r="248" spans="1:63" s="1114" customFormat="1" ht="12.75" hidden="1" customHeight="1" thickBot="1">
      <c r="A248" s="58"/>
      <c r="B248" s="838"/>
      <c r="C248" s="499"/>
      <c r="D248" s="500"/>
      <c r="E248" s="501"/>
      <c r="F248" s="499"/>
      <c r="G248" s="502"/>
      <c r="H248" s="502"/>
      <c r="I248" s="502"/>
      <c r="J248" s="502"/>
      <c r="K248" s="502"/>
      <c r="L248" s="502"/>
      <c r="M248" s="502"/>
      <c r="N248" s="502"/>
      <c r="O248" s="740"/>
      <c r="P248" s="494"/>
      <c r="Q248" s="58"/>
      <c r="R248" s="58"/>
      <c r="S248" s="498"/>
      <c r="T248" s="58"/>
      <c r="U248" s="58"/>
      <c r="V248" s="49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4" customFormat="1" ht="12.75" hidden="1" customHeight="1">
      <c r="A249" s="491"/>
      <c r="B249" s="838"/>
      <c r="C249" s="495"/>
      <c r="D249" s="180"/>
      <c r="E249" s="496"/>
      <c r="F249" s="495"/>
      <c r="G249" s="487"/>
      <c r="H249" s="487"/>
      <c r="I249" s="487"/>
      <c r="J249" s="487"/>
      <c r="K249" s="495"/>
      <c r="L249" s="487"/>
      <c r="M249" s="487"/>
      <c r="N249" s="487"/>
      <c r="O249" s="740"/>
      <c r="P249" s="494"/>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7" customFormat="1" ht="15" hidden="1" customHeight="1" thickBot="1">
      <c r="A250" s="58"/>
      <c r="B250" s="790"/>
      <c r="C250" s="617">
        <f>C218+1</f>
        <v>7</v>
      </c>
      <c r="D250" s="343"/>
      <c r="E250" s="1542"/>
      <c r="F250" s="1543"/>
      <c r="G250" s="1543"/>
      <c r="H250" s="1543"/>
      <c r="I250" s="1543"/>
      <c r="J250" s="1544"/>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7" t="str">
        <f>IF(ISBLANK(E250),"",MATCH(E250,CNTR_SourceStreamNames,0))</f>
        <v/>
      </c>
      <c r="S250" s="618" t="str">
        <f>IF(ISBLANK(E250),"",INDEX(B_InstallationDescription!$D$71:$D$145,MATCH(E250,CNTR_SourceStreamNames,0)))</f>
        <v/>
      </c>
      <c r="T250" s="509" t="s">
        <v>393</v>
      </c>
      <c r="U250" s="686" t="s">
        <v>67</v>
      </c>
      <c r="V250" s="58"/>
      <c r="W250" s="58"/>
      <c r="X250" s="58"/>
      <c r="Y250" s="58"/>
      <c r="Z250" s="58"/>
      <c r="AA250" s="58"/>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3"/>
    </row>
    <row r="251" spans="1:63" s="1117" customFormat="1" ht="15" hidden="1" customHeight="1" thickBot="1">
      <c r="A251" s="58"/>
      <c r="B251" s="790"/>
      <c r="C251" s="166"/>
      <c r="D251" s="166"/>
      <c r="E251" s="1547" t="str">
        <f>IF(E250="","",IF(INDEX(B_InstallationDescription!$E$71:$E$145,MATCH(S250,B_InstallationDescription!$D$71:$D$145,0))&gt;0,INDEX(B_InstallationDescription!$E$71:$E$145,MATCH(S250,B_InstallationDescription!$D$71:$D$145,0)),""))</f>
        <v/>
      </c>
      <c r="F251" s="1548"/>
      <c r="G251" s="1548"/>
      <c r="H251" s="1548"/>
      <c r="I251" s="1548"/>
      <c r="J251" s="1549"/>
      <c r="K251" s="142"/>
      <c r="L251" s="142"/>
      <c r="M251" s="143"/>
      <c r="N251" s="143"/>
      <c r="O251" s="733"/>
      <c r="P251" s="494"/>
      <c r="Q251" s="30"/>
      <c r="R251" s="27" t="s">
        <v>93</v>
      </c>
      <c r="S251" s="30"/>
      <c r="T251" s="578" t="b">
        <v>1</v>
      </c>
      <c r="U251" s="518" t="str">
        <f>IF(E251="","",INDEX(CNTR_PFCMethod,MATCH(E250,CNTR_PFCSourceStreamNames,0)))</f>
        <v/>
      </c>
      <c r="V251" s="30"/>
      <c r="W251" s="494"/>
      <c r="X251" s="30"/>
      <c r="Y251" s="30"/>
      <c r="Z251" s="30"/>
      <c r="AA251" s="30"/>
      <c r="AB251" s="342"/>
      <c r="AC251" s="27" t="s">
        <v>308</v>
      </c>
      <c r="AD251" s="30"/>
      <c r="AE251" s="30"/>
      <c r="AF251" s="30"/>
      <c r="AG251" s="30"/>
      <c r="AH251" s="30"/>
      <c r="AI251" s="27" t="s">
        <v>315</v>
      </c>
      <c r="AJ251" s="30"/>
      <c r="AK251" s="30"/>
      <c r="AL251" s="30"/>
      <c r="AM251" s="30"/>
      <c r="AN251" s="27" t="s">
        <v>219</v>
      </c>
      <c r="AO251" s="30"/>
      <c r="AP251" s="30"/>
      <c r="AQ251" s="30"/>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0"/>
      <c r="BJ251" s="30"/>
      <c r="BK251" s="23"/>
    </row>
    <row r="252" spans="1:63" s="1117" customFormat="1" ht="4.5" hidden="1" customHeight="1">
      <c r="A252" s="58"/>
      <c r="B252" s="790"/>
      <c r="C252" s="166"/>
      <c r="D252" s="166"/>
      <c r="E252" s="166"/>
      <c r="F252" s="166"/>
      <c r="G252" s="166"/>
      <c r="H252" s="142"/>
      <c r="I252" s="142"/>
      <c r="J252" s="142"/>
      <c r="K252" s="142"/>
      <c r="L252" s="142"/>
      <c r="M252" s="143"/>
      <c r="N252" s="143"/>
      <c r="O252" s="733"/>
      <c r="P252" s="33"/>
      <c r="Q252" s="30"/>
      <c r="R252" s="489"/>
      <c r="S252" s="30"/>
      <c r="T252" s="30"/>
      <c r="U252" s="30"/>
      <c r="V252" s="30"/>
      <c r="W252" s="494"/>
      <c r="X252" s="30"/>
      <c r="Y252" s="30"/>
      <c r="Z252" s="30"/>
      <c r="AA252" s="30"/>
      <c r="AB252" s="342"/>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7" customFormat="1" ht="12.75" hidden="1" customHeight="1">
      <c r="A253" s="58"/>
      <c r="B253" s="790"/>
      <c r="C253" s="166"/>
      <c r="D253" s="166"/>
      <c r="E253" s="1550" t="str">
        <f>IF(E250="","",HYPERLINK("#JUMP_14",EUconst_FurtherGuidancePoint1))</f>
        <v/>
      </c>
      <c r="F253" s="1550"/>
      <c r="G253" s="1550"/>
      <c r="H253" s="1550"/>
      <c r="I253" s="1550"/>
      <c r="J253" s="1550"/>
      <c r="K253" s="1550"/>
      <c r="L253" s="1550"/>
      <c r="M253" s="143"/>
      <c r="N253" s="143"/>
      <c r="O253" s="733"/>
      <c r="P253" s="33"/>
      <c r="Q253" s="30"/>
      <c r="R253" s="489"/>
      <c r="S253" s="30"/>
      <c r="T253" s="30"/>
      <c r="U253" s="30"/>
      <c r="V253" s="30"/>
      <c r="W253" s="494"/>
      <c r="X253" s="30"/>
      <c r="Y253" s="30"/>
      <c r="Z253" s="30"/>
      <c r="AA253" s="30"/>
      <c r="AB253" s="342"/>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7" customFormat="1" ht="5.0999999999999996" hidden="1" customHeight="1">
      <c r="A254" s="58"/>
      <c r="B254" s="790"/>
      <c r="C254" s="166"/>
      <c r="D254" s="166"/>
      <c r="E254" s="166"/>
      <c r="F254" s="166"/>
      <c r="G254" s="166"/>
      <c r="H254" s="142"/>
      <c r="I254" s="142"/>
      <c r="J254" s="142"/>
      <c r="K254" s="142"/>
      <c r="L254" s="142"/>
      <c r="M254" s="143"/>
      <c r="N254" s="143"/>
      <c r="O254" s="733"/>
      <c r="P254" s="33"/>
      <c r="Q254" s="30"/>
      <c r="R254" s="489"/>
      <c r="S254" s="30"/>
      <c r="T254" s="30"/>
      <c r="U254" s="30"/>
      <c r="V254" s="30"/>
      <c r="W254" s="494"/>
      <c r="X254" s="30"/>
      <c r="Y254" s="30"/>
      <c r="Z254" s="30"/>
      <c r="AA254" s="30"/>
      <c r="AB254" s="342"/>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7" customFormat="1" ht="12.75" hidden="1" customHeight="1" thickBot="1">
      <c r="A255" s="58"/>
      <c r="B255" s="790"/>
      <c r="C255" s="166"/>
      <c r="D255" s="166"/>
      <c r="E255" s="166"/>
      <c r="F255" s="506" t="str">
        <f>Translations!$B$333</f>
        <v>Pakopa</v>
      </c>
      <c r="G255" s="1557" t="str">
        <f>Translations!$B$672</f>
        <v>pakopos aprašas</v>
      </c>
      <c r="H255" s="1557"/>
      <c r="I255" s="1555" t="str">
        <f>Translations!$B$158</f>
        <v>Vienetas</v>
      </c>
      <c r="J255" s="1555"/>
      <c r="K255" s="1555" t="str">
        <f>Translations!$B$673</f>
        <v>Vertė</v>
      </c>
      <c r="L255" s="1555"/>
      <c r="M255" s="507" t="str">
        <f>Translations!$B$610</f>
        <v>klaida</v>
      </c>
      <c r="N255" s="142"/>
      <c r="O255" s="733"/>
      <c r="P255" s="508"/>
      <c r="Q255" s="30"/>
      <c r="R255" s="489"/>
      <c r="S255" s="30"/>
      <c r="T255" s="509" t="s">
        <v>303</v>
      </c>
      <c r="U255" s="30"/>
      <c r="V255" s="30"/>
      <c r="W255" s="494" t="s">
        <v>566</v>
      </c>
      <c r="X255" s="494" t="s">
        <v>318</v>
      </c>
      <c r="Y255" s="30"/>
      <c r="Z255" s="30"/>
      <c r="AA255" s="505" t="s">
        <v>309</v>
      </c>
      <c r="AB255" s="342"/>
      <c r="AC255" s="492" t="s">
        <v>306</v>
      </c>
      <c r="AD255" s="504" t="s">
        <v>569</v>
      </c>
      <c r="AE255" s="504" t="s">
        <v>568</v>
      </c>
      <c r="AF255" s="510"/>
      <c r="AG255" s="510"/>
      <c r="AH255" s="30"/>
      <c r="AI255" s="492"/>
      <c r="AJ255" s="492"/>
      <c r="AK255" s="492"/>
      <c r="AL255" s="492"/>
      <c r="AM255" s="492"/>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3" t="s">
        <v>262</v>
      </c>
      <c r="BK255" s="23"/>
    </row>
    <row r="256" spans="1:63" s="1117" customFormat="1" ht="12.75" hidden="1" customHeight="1" thickBot="1">
      <c r="A256" s="58"/>
      <c r="B256" s="790"/>
      <c r="C256" s="814" t="s">
        <v>4</v>
      </c>
      <c r="D256" s="512" t="str">
        <f>Translations!$B$622</f>
        <v>VD:</v>
      </c>
      <c r="E256" s="513"/>
      <c r="F256" s="402"/>
      <c r="G256" s="1532" t="str">
        <f>IF(OR(ISBLANK(F256),F256=EUconst_NoTier),"",IF(X256=0,EUconst_NA,IF(ISERROR(X256),"",X256)))</f>
        <v/>
      </c>
      <c r="H256" s="1533"/>
      <c r="I256" s="1619" t="str">
        <f>EUconst_t</f>
        <v>t</v>
      </c>
      <c r="J256" s="1620"/>
      <c r="K256" s="1630"/>
      <c r="L256" s="1631"/>
      <c r="M256" s="709" t="str">
        <f>IF(AND(E251&lt;&gt;"",OR(F256="",K256=""),W256&lt;&gt;EUconst_NA),EUconst_ERR_Incomplete,IF(COUNTIF(AI256:AL256,TRUE)&gt;0,EUconst_ERR_Inconsistent,""))</f>
        <v/>
      </c>
      <c r="N256" s="142"/>
      <c r="O256" s="733"/>
      <c r="P256" s="644"/>
      <c r="Q256" s="30"/>
      <c r="R256" s="514" t="str">
        <f>EUconst_CNTR_ActivityData&amp;E251</f>
        <v>ActivityData_</v>
      </c>
      <c r="S256" s="497"/>
      <c r="T256" s="514" t="str">
        <f>IF(E250="","",INDEX(B_InstallationDescription!$I$71:$I$145,MATCH(S250,B_InstallationDescription!$D$71:$D$145,0)))</f>
        <v/>
      </c>
      <c r="U256" s="30"/>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0"/>
      <c r="AE256" s="518">
        <f>IF(W256=EUconst_NA,1,IF(COUNT(K256:L256)=0,0,IF(L256="",K256,L256)))</f>
        <v>0</v>
      </c>
      <c r="AF256" s="510" t="s">
        <v>311</v>
      </c>
      <c r="AG256" s="510"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4" t="b">
        <f>OR(CNTR_PFCRelevant=EUconst_NotRelevant,AND(COUNTA(CNTR_ListRelevantSections)&gt;0,E250=""))</f>
        <v>1</v>
      </c>
      <c r="BK256" s="23"/>
    </row>
    <row r="257" spans="1:63" s="1117" customFormat="1" ht="5.0999999999999996" hidden="1" customHeight="1">
      <c r="A257" s="58"/>
      <c r="B257" s="790"/>
      <c r="C257" s="814"/>
      <c r="D257" s="306"/>
      <c r="E257" s="142"/>
      <c r="F257" s="143"/>
      <c r="G257" s="143"/>
      <c r="H257" s="143" t="s">
        <v>236</v>
      </c>
      <c r="I257" s="525"/>
      <c r="J257" s="525"/>
      <c r="K257" s="143"/>
      <c r="L257" s="143"/>
      <c r="M257" s="710"/>
      <c r="N257" s="142"/>
      <c r="O257" s="733"/>
      <c r="P257" s="33"/>
      <c r="Q257" s="30"/>
      <c r="R257" s="155"/>
      <c r="S257" s="497"/>
      <c r="T257" s="30"/>
      <c r="U257" s="30"/>
      <c r="V257" s="497"/>
      <c r="W257" s="526"/>
      <c r="X257" s="30"/>
      <c r="Y257" s="30"/>
      <c r="Z257" s="30"/>
      <c r="AA257" s="30"/>
      <c r="AB257" s="342"/>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3"/>
      <c r="BK257" s="23"/>
    </row>
    <row r="258" spans="1:63" s="1117" customFormat="1" ht="12.75" hidden="1" customHeight="1">
      <c r="A258" s="58"/>
      <c r="B258" s="790"/>
      <c r="C258" s="814" t="s">
        <v>5</v>
      </c>
      <c r="D258" s="512" t="str">
        <f>Translations!$B$722</f>
        <v>A. Dažnis</v>
      </c>
      <c r="E258" s="513"/>
      <c r="F258" s="527"/>
      <c r="G258" s="1532" t="str">
        <f t="shared" ref="G258:G264" si="38">IF(OR(ISBLANK(F258),F258=EUconst_NoTier),"",IF(X258=0,EUconst_NotApplicable,IF(ISERROR(X258),"",X258)))</f>
        <v/>
      </c>
      <c r="H258" s="1556"/>
      <c r="I258" s="1624" t="str">
        <f>IF(W258=EUconst_NA,"",INDEX(PFCUnits,1))</f>
        <v>1/(vienoje elektrolizės vonioje per parą)</v>
      </c>
      <c r="J258" s="1625"/>
      <c r="K258" s="678" t="str">
        <f t="shared" ref="K258:K264" si="39">IF(L258="",AD258,"")</f>
        <v/>
      </c>
      <c r="L258" s="694"/>
      <c r="M258" s="709" t="str">
        <f>IF(AND(E251&lt;&gt;"",OR(F258="",L258=""),W258&lt;&gt;EUconst_NA),EUconst_ERR_Incomplete,IF(COUNTIF(AI258:AL258,TRUE)&gt;0,EUconst_ERR_Inconsistent,""))</f>
        <v/>
      </c>
      <c r="N258" s="495"/>
      <c r="O258" s="733"/>
      <c r="P258" s="33"/>
      <c r="Q258" s="30"/>
      <c r="R258" s="530" t="str">
        <f>R256</f>
        <v>ActivityData_</v>
      </c>
      <c r="S258" s="497"/>
      <c r="T258" s="657" t="str">
        <f>T256</f>
        <v/>
      </c>
      <c r="U258" s="30"/>
      <c r="V258" s="497">
        <v>1</v>
      </c>
      <c r="W258" s="672" t="str">
        <f>IF(E251="","",IF(U251&lt;&gt;V258,EUconst_NA,INDEX(EUwideConstants!$N:$N,MATCH(R258,EUwideConstants!$Q:$Q,0))))</f>
        <v/>
      </c>
      <c r="X258" s="533" t="str">
        <f>IF(ISBLANK(F258),"",IF(F258=EUconst_NA,"",INDEX(EUwideConstants!$H:$M,MATCH(R258,EUwideConstants!$Q:$Q,0),MATCH(F258,CNTR_TierList,0))))</f>
        <v/>
      </c>
      <c r="Y258" s="30"/>
      <c r="Z258" s="30"/>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0"/>
      <c r="AI258" s="30"/>
      <c r="AJ258" s="30"/>
      <c r="AK258" s="534" t="b">
        <f t="shared" ref="AK258:AK264" si="42">AND(L258&lt;&gt;"",W258=EUconst_NA)</f>
        <v>0</v>
      </c>
      <c r="AL258" s="30"/>
      <c r="AM258" s="30"/>
      <c r="AN258" s="30"/>
      <c r="AO258" s="493" t="s">
        <v>390</v>
      </c>
      <c r="AP258" s="493" t="s">
        <v>391</v>
      </c>
      <c r="AQ258" s="30"/>
      <c r="AR258" s="30"/>
      <c r="AS258" s="30"/>
      <c r="AT258" s="30"/>
      <c r="AU258" s="30"/>
      <c r="AV258" s="30"/>
      <c r="AW258" s="30"/>
      <c r="AX258" s="30"/>
      <c r="AY258" s="30"/>
      <c r="AZ258" s="30"/>
      <c r="BA258" s="30"/>
      <c r="BB258" s="30"/>
      <c r="BC258" s="30"/>
      <c r="BD258" s="30"/>
      <c r="BE258" s="30"/>
      <c r="BF258" s="30"/>
      <c r="BG258" s="30"/>
      <c r="BH258" s="30"/>
      <c r="BI258" s="30"/>
      <c r="BJ258" s="534" t="b">
        <f>OR(BJ256,W258=EUconst_NA)</f>
        <v>1</v>
      </c>
      <c r="BK258" s="23"/>
    </row>
    <row r="259" spans="1:63" s="1117" customFormat="1" ht="12.75" hidden="1" customHeight="1" thickBot="1">
      <c r="A259" s="58"/>
      <c r="B259" s="790"/>
      <c r="C259" s="814" t="s">
        <v>196</v>
      </c>
      <c r="D259" s="512" t="str">
        <f>Translations!$B$724</f>
        <v>A. Trukmė</v>
      </c>
      <c r="E259" s="513"/>
      <c r="F259" s="645"/>
      <c r="G259" s="1532" t="str">
        <f t="shared" si="38"/>
        <v/>
      </c>
      <c r="H259" s="1556"/>
      <c r="I259" s="1626" t="str">
        <f>IF(W259=EUconst_NA,"",INDEX(PFCUnits,2))</f>
        <v>min.</v>
      </c>
      <c r="J259" s="1627"/>
      <c r="K259" s="679" t="str">
        <f t="shared" si="39"/>
        <v/>
      </c>
      <c r="L259" s="695"/>
      <c r="M259" s="709" t="str">
        <f>IF(AND(E251&lt;&gt;"",OR(F259="",L259=""),W259&lt;&gt;EUconst_NA),EUconst_ERR_Incomplete,IF(COUNTIF(AI259:AL259,TRUE)&gt;0,EUconst_ERR_Inconsistent,""))</f>
        <v/>
      </c>
      <c r="N259" s="495"/>
      <c r="O259" s="733"/>
      <c r="P259" s="33"/>
      <c r="Q259" s="30"/>
      <c r="R259" s="552" t="str">
        <f>R258</f>
        <v>ActivityData_</v>
      </c>
      <c r="S259" s="497"/>
      <c r="T259" s="658" t="str">
        <f t="shared" ref="T259:T264" si="43">T258</f>
        <v/>
      </c>
      <c r="U259" s="30"/>
      <c r="V259" s="497">
        <v>1</v>
      </c>
      <c r="W259" s="671" t="str">
        <f>IF(E251="","",IF(U251&lt;&gt;V259,EUconst_NA,INDEX(EUwideConstants!$N:$N,MATCH(R259,EUwideConstants!$Q:$Q,0))))</f>
        <v/>
      </c>
      <c r="X259" s="555" t="str">
        <f>IF(ISBLANK(F259),"",IF(F259=EUconst_NA,"",INDEX(EUwideConstants!$H:$M,MATCH(R259,EUwideConstants!$Q:$Q,0),MATCH(F259,CNTR_TierList,0))))</f>
        <v/>
      </c>
      <c r="Y259" s="30"/>
      <c r="Z259" s="30"/>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0"/>
      <c r="AI259" s="30"/>
      <c r="AJ259" s="30"/>
      <c r="AK259" s="660" t="b">
        <f t="shared" si="42"/>
        <v>0</v>
      </c>
      <c r="AL259" s="30"/>
      <c r="AM259" s="30"/>
      <c r="AN259" s="547" t="s">
        <v>446</v>
      </c>
      <c r="AO259" s="546" t="str">
        <f>IF(ISNUMBER(U251),AE256*AE258*AE259*AE260/1000,"")</f>
        <v/>
      </c>
      <c r="AP259" s="524"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60" t="b">
        <f>OR(BJ256,W259=EUconst_NA)</f>
        <v>1</v>
      </c>
      <c r="BK259" s="23"/>
    </row>
    <row r="260" spans="1:63" s="1117" customFormat="1" ht="12.75" hidden="1" customHeight="1" thickBot="1">
      <c r="A260" s="58"/>
      <c r="B260" s="790"/>
      <c r="C260" s="814" t="s">
        <v>197</v>
      </c>
      <c r="D260" s="652" t="str">
        <f>Translations!$B$726</f>
        <v>A. NITF(CF4)</v>
      </c>
      <c r="E260" s="653"/>
      <c r="F260" s="548"/>
      <c r="G260" s="1628" t="str">
        <f t="shared" si="38"/>
        <v/>
      </c>
      <c r="H260" s="1629"/>
      <c r="I260" s="1626" t="str">
        <f>IF(W260=EUconst_NA,"",INDEX(PFCUnits,3))</f>
        <v>(kg CF4/t Al)/(min./vienoje elektrolizės vonioje per parą)</v>
      </c>
      <c r="J260" s="1627"/>
      <c r="K260" s="680" t="str">
        <f t="shared" si="39"/>
        <v/>
      </c>
      <c r="L260" s="683"/>
      <c r="M260" s="711" t="str">
        <f>IF(AND(E251&lt;&gt;"",OR(F260="",COUNT(K260:L260)=0),W260&lt;&gt;EUconst_NA),EUconst_ERR_Incomplete,IF(COUNTIF(AI260:AL260,TRUE)&gt;0,EUconst_ERR_Inconsistent,""))</f>
        <v/>
      </c>
      <c r="N260" s="142"/>
      <c r="O260" s="733"/>
      <c r="P260" s="33"/>
      <c r="Q260" s="30"/>
      <c r="R260" s="552" t="str">
        <f>EUconst_CNTR_EF&amp;$E251</f>
        <v>EF_</v>
      </c>
      <c r="S260" s="497"/>
      <c r="T260" s="658" t="str">
        <f t="shared" si="43"/>
        <v/>
      </c>
      <c r="U260" s="30"/>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0"/>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0"/>
      <c r="AI260" s="30"/>
      <c r="AJ260" s="30"/>
      <c r="AK260" s="660" t="b">
        <f t="shared" si="42"/>
        <v>0</v>
      </c>
      <c r="AL260" s="30"/>
      <c r="AM260" s="30"/>
      <c r="AN260" s="547" t="s">
        <v>447</v>
      </c>
      <c r="AO260" s="546">
        <f>IF(AND(ISNUMBER(AO259),AO259&gt;0),AO259*AE264,0)</f>
        <v>0</v>
      </c>
      <c r="AP260" s="524">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60" t="b">
        <f>OR(BJ256,W260=EUconst_NA)</f>
        <v>1</v>
      </c>
      <c r="BK260" s="23"/>
    </row>
    <row r="261" spans="1:63" s="1117" customFormat="1" ht="12.75" hidden="1" customHeight="1" thickBot="1">
      <c r="A261" s="58"/>
      <c r="B261" s="790"/>
      <c r="C261" s="814" t="s">
        <v>198</v>
      </c>
      <c r="D261" s="650" t="str">
        <f>Translations!$B$728</f>
        <v>B. AEV</v>
      </c>
      <c r="E261" s="651"/>
      <c r="F261" s="645"/>
      <c r="G261" s="1622" t="str">
        <f t="shared" si="38"/>
        <v/>
      </c>
      <c r="H261" s="1623"/>
      <c r="I261" s="1626" t="str">
        <f>IF(W261=EUconst_NA,"",INDEX(PFCUnits,4))</f>
        <v>mV</v>
      </c>
      <c r="J261" s="1627"/>
      <c r="K261" s="679" t="str">
        <f t="shared" si="39"/>
        <v/>
      </c>
      <c r="L261" s="695"/>
      <c r="M261" s="712" t="str">
        <f>IF(AND(E251&lt;&gt;"",OR(F261="",L261=""),W261&lt;&gt;EUconst_NA),EUconst_ERR_Incomplete,IF(COUNTIF(AI261:AL261,TRUE)&gt;0,EUconst_ERR_Inconsistent,""))</f>
        <v/>
      </c>
      <c r="N261" s="142"/>
      <c r="O261" s="733"/>
      <c r="P261" s="644"/>
      <c r="Q261" s="30"/>
      <c r="R261" s="552" t="str">
        <f>R256</f>
        <v>ActivityData_</v>
      </c>
      <c r="S261" s="497"/>
      <c r="T261" s="658" t="str">
        <f t="shared" si="43"/>
        <v/>
      </c>
      <c r="U261" s="30"/>
      <c r="V261" s="497">
        <v>2</v>
      </c>
      <c r="W261" s="671" t="str">
        <f>IF(E251="","",IF(U251&lt;&gt;V261,EUconst_NA,INDEX(EUwideConstants!$N:$N,MATCH(R261,EUwideConstants!$Q:$Q,0))))</f>
        <v/>
      </c>
      <c r="X261" s="555" t="str">
        <f>IF(ISBLANK(F261),"",IF(F261=EUconst_NA,"",INDEX(EUwideConstants!$H:$M,MATCH(R261,EUwideConstants!$Q:$Q,0),MATCH(F261,CNTR_TierList,0))))</f>
        <v/>
      </c>
      <c r="Y261" s="30"/>
      <c r="Z261" s="30"/>
      <c r="AA261" s="557" t="b">
        <f>AND(AA256,W261&lt;&gt;EUconst_NA)</f>
        <v>0</v>
      </c>
      <c r="AB261" s="342"/>
      <c r="AC261" s="676"/>
      <c r="AD261" s="676" t="str">
        <f>""</f>
        <v/>
      </c>
      <c r="AE261" s="660">
        <f t="shared" si="40"/>
        <v>0</v>
      </c>
      <c r="AF261" s="660" t="b">
        <f>AND(AA261=TRUE,OR(ISNUMBER(L261),NOT(ISNUMBER(Y261))))</f>
        <v>0</v>
      </c>
      <c r="AG261" s="660" t="b">
        <f t="shared" si="41"/>
        <v>0</v>
      </c>
      <c r="AH261" s="30"/>
      <c r="AI261" s="30"/>
      <c r="AJ261" s="30"/>
      <c r="AK261" s="660" t="b">
        <f t="shared" si="42"/>
        <v>0</v>
      </c>
      <c r="AL261" s="30"/>
      <c r="AM261" s="30"/>
      <c r="AN261" s="547" t="s">
        <v>446</v>
      </c>
      <c r="AO261" s="546" t="str">
        <f>IF(ISNUMBER(AO259),AO259*AE269,"")</f>
        <v/>
      </c>
      <c r="AP261" s="524"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60" t="b">
        <f>OR(BJ256,W261=EUconst_NA)</f>
        <v>1</v>
      </c>
      <c r="BK261" s="23"/>
    </row>
    <row r="262" spans="1:63" s="1117" customFormat="1" ht="12.75" hidden="1" customHeight="1" thickBot="1">
      <c r="A262" s="58"/>
      <c r="B262" s="790"/>
      <c r="C262" s="777" t="s">
        <v>199</v>
      </c>
      <c r="D262" s="512" t="str">
        <f>Translations!$B$730</f>
        <v>B. EN</v>
      </c>
      <c r="E262" s="513"/>
      <c r="F262" s="548"/>
      <c r="G262" s="1532" t="str">
        <f t="shared" si="38"/>
        <v/>
      </c>
      <c r="H262" s="1533"/>
      <c r="I262" s="1626" t="str">
        <f>IF(W262=EUconst_NA,"","-")</f>
        <v>-</v>
      </c>
      <c r="J262" s="1627"/>
      <c r="K262" s="681" t="str">
        <f t="shared" si="39"/>
        <v/>
      </c>
      <c r="L262" s="571"/>
      <c r="M262" s="709" t="str">
        <f>IF(AND(E251&lt;&gt;"",OR(F262="",L262=""),W262&lt;&gt;EUconst_NA),EUconst_ERR_Incomplete,IF(COUNTIF(AI262:AL262,TRUE)&gt;0,EUconst_ERR_Inconsistent,""))</f>
        <v/>
      </c>
      <c r="N262" s="142"/>
      <c r="O262" s="733"/>
      <c r="P262" s="644"/>
      <c r="Q262" s="30"/>
      <c r="R262" s="552" t="str">
        <f>R261</f>
        <v>ActivityData_</v>
      </c>
      <c r="S262" s="497"/>
      <c r="T262" s="658" t="str">
        <f t="shared" si="43"/>
        <v/>
      </c>
      <c r="U262" s="30"/>
      <c r="V262" s="497">
        <v>2</v>
      </c>
      <c r="W262" s="671" t="str">
        <f>IF(E251="","",IF(U251&lt;&gt;V262,EUconst_NA,INDEX(EUwideConstants!$N:$N,MATCH(R262,EUwideConstants!$Q:$Q,0))))</f>
        <v/>
      </c>
      <c r="X262" s="555" t="str">
        <f>IF(ISBLANK(F262),"",IF(F262=EUconst_NA,"",INDEX(EUwideConstants!$H:$M,MATCH(R262,EUwideConstants!$Q:$Q,0),MATCH(F262,CNTR_TierList,0))))</f>
        <v/>
      </c>
      <c r="Y262" s="30"/>
      <c r="Z262" s="30"/>
      <c r="AA262" s="557" t="b">
        <f>AND(AA256,W262&lt;&gt;EUconst_NA)</f>
        <v>0</v>
      </c>
      <c r="AB262" s="342"/>
      <c r="AC262" s="676"/>
      <c r="AD262" s="676" t="str">
        <f>""</f>
        <v/>
      </c>
      <c r="AE262" s="660">
        <f t="shared" si="40"/>
        <v>0</v>
      </c>
      <c r="AF262" s="660" t="b">
        <f>AND(AA262=TRUE,OR(ISNUMBER(L262),NOT(ISNUMBER(Y262))))</f>
        <v>0</v>
      </c>
      <c r="AG262" s="660" t="b">
        <f t="shared" si="41"/>
        <v>0</v>
      </c>
      <c r="AH262" s="30"/>
      <c r="AI262" s="30"/>
      <c r="AJ262" s="30"/>
      <c r="AK262" s="708" t="b">
        <f t="shared" si="42"/>
        <v>0</v>
      </c>
      <c r="AL262" s="524" t="b">
        <f>L262&gt;100%</f>
        <v>0</v>
      </c>
      <c r="AM262" s="30"/>
      <c r="AN262" s="547" t="s">
        <v>447</v>
      </c>
      <c r="AO262" s="546">
        <f>IF(ISNUMBER(AO260),AO260*AE270,"")</f>
        <v>0</v>
      </c>
      <c r="AP262" s="524">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60" t="b">
        <f>OR(BJ256,W262=EUconst_NA)</f>
        <v>1</v>
      </c>
      <c r="BK262" s="23"/>
    </row>
    <row r="263" spans="1:63" s="1117" customFormat="1" ht="12.75" hidden="1" customHeight="1" thickBot="1">
      <c r="A263" s="58"/>
      <c r="B263" s="790"/>
      <c r="C263" s="814" t="s">
        <v>200</v>
      </c>
      <c r="D263" s="652" t="str">
        <f>Translations!$B$732</f>
        <v>B. VĮK</v>
      </c>
      <c r="E263" s="653"/>
      <c r="F263" s="548"/>
      <c r="G263" s="1628" t="str">
        <f t="shared" si="38"/>
        <v/>
      </c>
      <c r="H263" s="1629"/>
      <c r="I263" s="1626" t="str">
        <f>IF(W263=EUconst_NA,"",INDEX(PFCUnits,6))</f>
        <v>(kg CF4)/(t Al mV)</v>
      </c>
      <c r="J263" s="1627"/>
      <c r="K263" s="681" t="str">
        <f t="shared" si="39"/>
        <v/>
      </c>
      <c r="L263" s="684"/>
      <c r="M263" s="711" t="str">
        <f>IF(AND(E251&lt;&gt;"",OR(F263="",COUNT(K263:L263)=0),W263&lt;&gt;EUconst_NA),EUconst_ERR_Incomplete,IF(COUNTIF(AI263:AL263,TRUE)&gt;0,EUconst_ERR_Inconsistent,""))</f>
        <v/>
      </c>
      <c r="N263" s="142"/>
      <c r="O263" s="733"/>
      <c r="P263" s="33"/>
      <c r="Q263" s="30"/>
      <c r="R263" s="552" t="str">
        <f>EUconst_CNTR_EF&amp;E251</f>
        <v>EF_</v>
      </c>
      <c r="S263" s="497"/>
      <c r="T263" s="658" t="str">
        <f t="shared" si="43"/>
        <v/>
      </c>
      <c r="U263" s="30"/>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0"/>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0"/>
      <c r="AI263" s="30"/>
      <c r="AJ263" s="30"/>
      <c r="AK263" s="660"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60" t="b">
        <f>OR(BJ256,W263=EUconst_NA)</f>
        <v>1</v>
      </c>
      <c r="BK263" s="23"/>
    </row>
    <row r="264" spans="1:63" s="1117" customFormat="1" ht="12.75" hidden="1" customHeight="1" thickBot="1">
      <c r="A264" s="58"/>
      <c r="B264" s="790"/>
      <c r="C264" s="814" t="s">
        <v>329</v>
      </c>
      <c r="D264" s="650" t="str">
        <f>Translations!$B$734</f>
        <v>F(C2F6)</v>
      </c>
      <c r="E264" s="651"/>
      <c r="F264" s="597"/>
      <c r="G264" s="1622" t="str">
        <f t="shared" si="38"/>
        <v/>
      </c>
      <c r="H264" s="1623"/>
      <c r="I264" s="1617" t="str">
        <f>IF(W264=EUconst_NA,"",INDEX(PFCUnits,7))</f>
        <v>t C2F6/t CF4</v>
      </c>
      <c r="J264" s="1618"/>
      <c r="K264" s="682" t="str">
        <f t="shared" si="39"/>
        <v/>
      </c>
      <c r="L264" s="685"/>
      <c r="M264" s="712" t="str">
        <f>IF(AND(E251&lt;&gt;"",OR(F264="",COUNT(K264:L264)=0),W264&lt;&gt;EUconst_NA),EUconst_ERR_Incomplete,IF(COUNTIF(AI264:AL264,TRUE)&gt;0,EUconst_ERR_Inconsistent,""))</f>
        <v/>
      </c>
      <c r="N264" s="142"/>
      <c r="O264" s="733"/>
      <c r="P264" s="33"/>
      <c r="Q264" s="30"/>
      <c r="R264" s="599" t="str">
        <f>EUconst_CNTR_EF&amp;E251</f>
        <v>EF_</v>
      </c>
      <c r="S264" s="497"/>
      <c r="T264" s="659" t="str">
        <f t="shared" si="43"/>
        <v/>
      </c>
      <c r="U264" s="30"/>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0"/>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0"/>
      <c r="AI264" s="30"/>
      <c r="AJ264" s="30"/>
      <c r="AK264" s="582"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2" t="b">
        <f>OR(BJ256,W264=EUconst_NA)</f>
        <v>1</v>
      </c>
      <c r="BK264" s="23"/>
    </row>
    <row r="265" spans="1:63" s="1117" customFormat="1" ht="5.0999999999999996" hidden="1" customHeight="1">
      <c r="A265" s="58"/>
      <c r="B265" s="790"/>
      <c r="C265" s="166"/>
      <c r="D265" s="180"/>
      <c r="E265" s="142"/>
      <c r="F265" s="142"/>
      <c r="G265" s="142"/>
      <c r="H265" s="142"/>
      <c r="I265" s="142"/>
      <c r="J265" s="142"/>
      <c r="K265" s="142"/>
      <c r="L265" s="142"/>
      <c r="M265" s="704"/>
      <c r="N265" s="142"/>
      <c r="O265" s="733"/>
      <c r="P265" s="33"/>
      <c r="Q265" s="174"/>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7" customFormat="1" ht="12.75" hidden="1" customHeight="1">
      <c r="A266" s="58"/>
      <c r="B266" s="790"/>
      <c r="C266" s="777" t="s">
        <v>330</v>
      </c>
      <c r="D266" s="646" t="str">
        <f>Translations!$B$748</f>
        <v>Išmestas CF4 kiekis</v>
      </c>
      <c r="E266" s="647"/>
      <c r="F266" s="513"/>
      <c r="G266" s="513"/>
      <c r="H266" s="513"/>
      <c r="I266" s="1624" t="str">
        <f>EUconst_t</f>
        <v>t</v>
      </c>
      <c r="J266" s="1625"/>
      <c r="K266" s="513"/>
      <c r="L266" s="955" t="str">
        <f>IF(ISNUMBER(U251),INDEX(AO259:AP259,U251),"")</f>
        <v/>
      </c>
      <c r="M266" s="704"/>
      <c r="N266" s="142"/>
      <c r="O266" s="733"/>
      <c r="P266" s="33"/>
      <c r="Q266" s="174"/>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7" customFormat="1" ht="12.75" hidden="1" customHeight="1" thickBot="1">
      <c r="A267" s="58"/>
      <c r="B267" s="790"/>
      <c r="C267" s="777" t="s">
        <v>454</v>
      </c>
      <c r="D267" s="646" t="str">
        <f>Translations!$B$749</f>
        <v>Išmestas C2F6 kiekis</v>
      </c>
      <c r="E267" s="513"/>
      <c r="F267" s="513"/>
      <c r="G267" s="513"/>
      <c r="H267" s="513"/>
      <c r="I267" s="1617" t="str">
        <f>EUconst_t</f>
        <v>t</v>
      </c>
      <c r="J267" s="1618"/>
      <c r="K267" s="513"/>
      <c r="L267" s="956" t="str">
        <f>IF(ISNUMBER(U251),INDEX(AO260:AP260,U251),"")</f>
        <v/>
      </c>
      <c r="M267" s="704"/>
      <c r="N267" s="142"/>
      <c r="O267" s="733"/>
      <c r="P267" s="33"/>
      <c r="Q267" s="174"/>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7" customFormat="1" ht="5.0999999999999996" hidden="1" customHeight="1">
      <c r="A268" s="58"/>
      <c r="B268" s="790"/>
      <c r="C268" s="779"/>
      <c r="D268" s="180"/>
      <c r="E268" s="142"/>
      <c r="F268" s="142"/>
      <c r="G268" s="142"/>
      <c r="H268" s="142"/>
      <c r="I268" s="142"/>
      <c r="J268" s="142"/>
      <c r="K268" s="142"/>
      <c r="L268" s="142"/>
      <c r="M268" s="704"/>
      <c r="N268" s="142"/>
      <c r="O268" s="733"/>
      <c r="P268" s="33"/>
      <c r="Q268" s="174"/>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7" customFormat="1" ht="12.75" hidden="1" customHeight="1">
      <c r="A269" s="58"/>
      <c r="B269" s="790"/>
      <c r="C269" s="777" t="s">
        <v>455</v>
      </c>
      <c r="D269" s="646" t="str">
        <f>Translations!$B$736</f>
        <v>VAP(CF4)</v>
      </c>
      <c r="E269" s="647"/>
      <c r="F269" s="513"/>
      <c r="G269" s="513"/>
      <c r="H269" s="513"/>
      <c r="I269" s="1624" t="s">
        <v>444</v>
      </c>
      <c r="J269" s="1625"/>
      <c r="K269" s="648">
        <f>IF(L269="",7390,"")</f>
        <v>7390</v>
      </c>
      <c r="L269" s="968"/>
      <c r="M269" s="704"/>
      <c r="N269" s="142"/>
      <c r="O269" s="733"/>
      <c r="P269" s="644"/>
      <c r="Q269" s="174"/>
      <c r="R269" s="30"/>
      <c r="S269" s="30"/>
      <c r="T269" s="30"/>
      <c r="U269" s="30"/>
      <c r="V269" s="30"/>
      <c r="W269" s="30"/>
      <c r="X269" s="30"/>
      <c r="Y269" s="30"/>
      <c r="Z269" s="30"/>
      <c r="AA269" s="30"/>
      <c r="AB269" s="30"/>
      <c r="AC269" s="30"/>
      <c r="AD269" s="30"/>
      <c r="AE269" s="535">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1" t="b">
        <f>BJ256</f>
        <v>1</v>
      </c>
      <c r="BK269" s="23"/>
    </row>
    <row r="270" spans="1:63" s="1117" customFormat="1" ht="12.75" hidden="1" customHeight="1" thickBot="1">
      <c r="A270" s="58"/>
      <c r="B270" s="790"/>
      <c r="C270" s="777" t="s">
        <v>456</v>
      </c>
      <c r="D270" s="646" t="str">
        <f>Translations!$B$738</f>
        <v>VAP(C2F6)</v>
      </c>
      <c r="E270" s="647"/>
      <c r="F270" s="513"/>
      <c r="G270" s="513"/>
      <c r="H270" s="513"/>
      <c r="I270" s="1617" t="s">
        <v>445</v>
      </c>
      <c r="J270" s="1618"/>
      <c r="K270" s="649">
        <f>IF(L270="",12200,"")</f>
        <v>12200</v>
      </c>
      <c r="L270" s="969"/>
      <c r="M270" s="704"/>
      <c r="N270" s="142"/>
      <c r="O270" s="733"/>
      <c r="P270" s="33"/>
      <c r="Q270" s="174"/>
      <c r="R270" s="30"/>
      <c r="S270" s="30"/>
      <c r="T270" s="30"/>
      <c r="U270" s="30"/>
      <c r="V270" s="30"/>
      <c r="W270" s="30"/>
      <c r="X270" s="30"/>
      <c r="Y270" s="30"/>
      <c r="Z270" s="30"/>
      <c r="AA270" s="30"/>
      <c r="AB270" s="30"/>
      <c r="AC270" s="30"/>
      <c r="AD270" s="30"/>
      <c r="AE270" s="674">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80" t="b">
        <f>BJ269</f>
        <v>1</v>
      </c>
      <c r="BK270" s="23"/>
    </row>
    <row r="271" spans="1:63" s="1117" customFormat="1" ht="5.0999999999999996" hidden="1" customHeight="1">
      <c r="A271" s="58"/>
      <c r="B271" s="790"/>
      <c r="C271" s="779"/>
      <c r="D271" s="306"/>
      <c r="E271" s="495"/>
      <c r="F271" s="142"/>
      <c r="G271" s="142"/>
      <c r="H271" s="142"/>
      <c r="I271" s="142"/>
      <c r="J271" s="142"/>
      <c r="K271" s="142"/>
      <c r="L271" s="704"/>
      <c r="M271" s="704"/>
      <c r="N271" s="142"/>
      <c r="O271" s="733"/>
      <c r="P271" s="33"/>
      <c r="Q271" s="174"/>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7" customFormat="1" ht="12.75" hidden="1" customHeight="1">
      <c r="A272" s="58"/>
      <c r="B272" s="790"/>
      <c r="C272" s="777" t="s">
        <v>457</v>
      </c>
      <c r="D272" s="646" t="str">
        <f>Translations!$B$748</f>
        <v>Išmestas CF4 kiekis</v>
      </c>
      <c r="E272" s="647"/>
      <c r="F272" s="513"/>
      <c r="G272" s="513"/>
      <c r="H272" s="513"/>
      <c r="I272" s="1624" t="s">
        <v>260</v>
      </c>
      <c r="J272" s="1625"/>
      <c r="K272" s="513"/>
      <c r="L272" s="705" t="str">
        <f>IF(ISNUMBER(U251),INDEX(AO261:AP261,U251),"")</f>
        <v/>
      </c>
      <c r="M272" s="704"/>
      <c r="N272" s="142"/>
      <c r="O272" s="733"/>
      <c r="P272" s="644"/>
      <c r="Q272" s="174"/>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7" customFormat="1" ht="12.75" hidden="1" customHeight="1" thickBot="1">
      <c r="A273" s="58"/>
      <c r="B273" s="790"/>
      <c r="C273" s="777" t="s">
        <v>458</v>
      </c>
      <c r="D273" s="646" t="str">
        <f>Translations!$B$749</f>
        <v>Išmestas C2F6 kiekis</v>
      </c>
      <c r="E273" s="513"/>
      <c r="F273" s="513"/>
      <c r="G273" s="513"/>
      <c r="H273" s="513"/>
      <c r="I273" s="1617" t="s">
        <v>260</v>
      </c>
      <c r="J273" s="1618"/>
      <c r="K273" s="513"/>
      <c r="L273" s="706" t="str">
        <f>IF(ISNUMBER(U251),INDEX(AO262:AP262,U251),"")</f>
        <v/>
      </c>
      <c r="M273" s="704"/>
      <c r="N273" s="142"/>
      <c r="O273" s="733"/>
      <c r="P273" s="33"/>
      <c r="Q273" s="174"/>
      <c r="R273" s="30"/>
      <c r="S273" s="30"/>
      <c r="T273" s="30"/>
      <c r="U273" s="30"/>
      <c r="V273" s="30"/>
      <c r="W273" s="30"/>
      <c r="X273" s="30"/>
      <c r="Y273" s="30"/>
      <c r="Z273" s="30"/>
      <c r="AA273" s="30"/>
      <c r="AB273" s="30"/>
      <c r="AC273" s="30"/>
      <c r="AD273" s="30"/>
      <c r="AE273" s="492"/>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7" customFormat="1" ht="5.0999999999999996" hidden="1" customHeight="1">
      <c r="A274" s="58"/>
      <c r="B274" s="790"/>
      <c r="C274" s="779"/>
      <c r="D274" s="180"/>
      <c r="E274" s="142"/>
      <c r="F274" s="142"/>
      <c r="G274" s="142"/>
      <c r="H274" s="142"/>
      <c r="I274" s="142"/>
      <c r="J274" s="142"/>
      <c r="K274" s="142"/>
      <c r="L274" s="142"/>
      <c r="M274" s="704"/>
      <c r="N274" s="142"/>
      <c r="O274" s="733"/>
      <c r="P274" s="33"/>
      <c r="Q274" s="174"/>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7" customFormat="1" ht="12.75" hidden="1" customHeight="1" thickBot="1">
      <c r="A275" s="58"/>
      <c r="B275" s="790"/>
      <c r="C275" s="777" t="s">
        <v>459</v>
      </c>
      <c r="D275" s="646" t="str">
        <f>Translations!$B$167</f>
        <v>Surinkimo efektyvumas</v>
      </c>
      <c r="E275" s="513"/>
      <c r="F275" s="513"/>
      <c r="G275" s="513"/>
      <c r="H275" s="513"/>
      <c r="I275" s="1619" t="s">
        <v>261</v>
      </c>
      <c r="J275" s="1620"/>
      <c r="K275" s="513"/>
      <c r="L275" s="1149"/>
      <c r="M275" s="709" t="str">
        <f>IF(AND(E251&lt;&gt;"",L275=""),EUconst_ERR_Incomplete,IF(COUNTIF(AI275:AL275,TRUE)&gt;0,EUconst_ERR_Inconsistent,""))</f>
        <v/>
      </c>
      <c r="N275" s="142"/>
      <c r="O275" s="733"/>
      <c r="P275" s="644"/>
      <c r="Q275" s="174"/>
      <c r="R275" s="30"/>
      <c r="S275" s="30"/>
      <c r="T275" s="30"/>
      <c r="U275" s="30"/>
      <c r="V275" s="30"/>
      <c r="W275" s="30"/>
      <c r="X275" s="30"/>
      <c r="Y275" s="30"/>
      <c r="Z275" s="30"/>
      <c r="AA275" s="30"/>
      <c r="AB275" s="30"/>
      <c r="AC275" s="30"/>
      <c r="AD275" s="30"/>
      <c r="AE275" s="30"/>
      <c r="AF275" s="30"/>
      <c r="AG275" s="30"/>
      <c r="AH275" s="30"/>
      <c r="AI275" s="30"/>
      <c r="AJ275" s="30"/>
      <c r="AK275" s="30"/>
      <c r="AL275" s="524"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4" t="b">
        <f>BJ256</f>
        <v>1</v>
      </c>
      <c r="BK275" s="23"/>
    </row>
    <row r="276" spans="1:63" s="1117" customFormat="1" ht="5.0999999999999996" hidden="1" customHeight="1">
      <c r="A276" s="58"/>
      <c r="B276" s="790"/>
      <c r="C276" s="166"/>
      <c r="D276" s="180"/>
      <c r="E276" s="142"/>
      <c r="F276" s="142"/>
      <c r="G276" s="142"/>
      <c r="H276" s="142"/>
      <c r="I276" s="142"/>
      <c r="J276" s="142"/>
      <c r="K276" s="142"/>
      <c r="L276" s="142"/>
      <c r="M276" s="142"/>
      <c r="N276" s="142"/>
      <c r="O276" s="733"/>
      <c r="P276" s="33"/>
      <c r="Q276" s="174"/>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7" customFormat="1" ht="12.75" hidden="1" customHeight="1" thickBot="1">
      <c r="A277" s="58"/>
      <c r="B277" s="790"/>
      <c r="C277" s="166"/>
      <c r="D277" s="1558" t="str">
        <f>Translations!$B$674</f>
        <v>Pakopos galioja nuo:</v>
      </c>
      <c r="E277" s="1558"/>
      <c r="F277" s="1559"/>
      <c r="G277" s="616"/>
      <c r="H277" s="615" t="str">
        <f>Translations!$B$675</f>
        <v>iki:</v>
      </c>
      <c r="I277" s="616"/>
      <c r="J277" s="142"/>
      <c r="K277" s="142"/>
      <c r="L277" s="142"/>
      <c r="M277" s="142"/>
      <c r="N277" s="142"/>
      <c r="O277" s="733"/>
      <c r="P277" s="33"/>
      <c r="Q277" s="174"/>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4" t="b">
        <f>BJ256</f>
        <v>1</v>
      </c>
      <c r="BK277" s="23"/>
    </row>
    <row r="278" spans="1:63" s="1117" customFormat="1" ht="5.0999999999999996" hidden="1" customHeight="1">
      <c r="A278" s="30"/>
      <c r="B278" s="572"/>
      <c r="C278" s="142"/>
      <c r="D278" s="180"/>
      <c r="E278" s="142"/>
      <c r="F278" s="142"/>
      <c r="G278" s="142"/>
      <c r="H278" s="142"/>
      <c r="I278" s="142"/>
      <c r="J278" s="142"/>
      <c r="K278" s="142"/>
      <c r="L278" s="142"/>
      <c r="M278" s="142"/>
      <c r="N278" s="142"/>
      <c r="O278" s="573"/>
      <c r="P278" s="497"/>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7" customFormat="1" ht="12.75" hidden="1" customHeight="1" thickBot="1">
      <c r="A279" s="30"/>
      <c r="B279" s="572"/>
      <c r="C279" s="142"/>
      <c r="D279" s="1534" t="str">
        <f>Translations!$B$160</f>
        <v>Pastabos:</v>
      </c>
      <c r="E279" s="1535"/>
      <c r="F279" s="1621"/>
      <c r="G279" s="1621"/>
      <c r="H279" s="1621"/>
      <c r="I279" s="1621"/>
      <c r="J279" s="1621"/>
      <c r="K279" s="1621"/>
      <c r="L279" s="1621"/>
      <c r="M279" s="1621"/>
      <c r="N279" s="1621"/>
      <c r="O279" s="573"/>
      <c r="P279" s="497"/>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4" t="b">
        <f>BJ277</f>
        <v>1</v>
      </c>
      <c r="BK279" s="23"/>
    </row>
    <row r="280" spans="1:63" s="1114" customFormat="1" ht="12.75" hidden="1" customHeight="1" thickBot="1">
      <c r="A280" s="58"/>
      <c r="B280" s="838"/>
      <c r="C280" s="499"/>
      <c r="D280" s="500"/>
      <c r="E280" s="501"/>
      <c r="F280" s="499"/>
      <c r="G280" s="502"/>
      <c r="H280" s="502"/>
      <c r="I280" s="502"/>
      <c r="J280" s="502"/>
      <c r="K280" s="502"/>
      <c r="L280" s="502"/>
      <c r="M280" s="502"/>
      <c r="N280" s="502"/>
      <c r="O280" s="740"/>
      <c r="P280" s="494"/>
      <c r="Q280" s="58"/>
      <c r="R280" s="58"/>
      <c r="S280" s="498"/>
      <c r="T280" s="58"/>
      <c r="U280" s="58"/>
      <c r="V280" s="49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4" customFormat="1" ht="12.75" hidden="1" customHeight="1">
      <c r="A281" s="491"/>
      <c r="B281" s="838"/>
      <c r="C281" s="495"/>
      <c r="D281" s="180"/>
      <c r="E281" s="496"/>
      <c r="F281" s="495"/>
      <c r="G281" s="487"/>
      <c r="H281" s="487"/>
      <c r="I281" s="487"/>
      <c r="J281" s="487"/>
      <c r="K281" s="495"/>
      <c r="L281" s="487"/>
      <c r="M281" s="487"/>
      <c r="N281" s="487"/>
      <c r="O281" s="740"/>
      <c r="P281" s="494"/>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7" customFormat="1" ht="15" hidden="1" customHeight="1" thickBot="1">
      <c r="A282" s="58"/>
      <c r="B282" s="790"/>
      <c r="C282" s="617">
        <f>C250+1</f>
        <v>8</v>
      </c>
      <c r="D282" s="343"/>
      <c r="E282" s="1542"/>
      <c r="F282" s="1543"/>
      <c r="G282" s="1543"/>
      <c r="H282" s="1543"/>
      <c r="I282" s="1543"/>
      <c r="J282" s="1544"/>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7" t="str">
        <f>IF(ISBLANK(E282),"",MATCH(E282,CNTR_SourceStreamNames,0))</f>
        <v/>
      </c>
      <c r="S282" s="618" t="str">
        <f>IF(ISBLANK(E282),"",INDEX(B_InstallationDescription!$D$71:$D$145,MATCH(E282,CNTR_SourceStreamNames,0)))</f>
        <v/>
      </c>
      <c r="T282" s="509" t="s">
        <v>393</v>
      </c>
      <c r="U282" s="686" t="s">
        <v>67</v>
      </c>
      <c r="V282" s="58"/>
      <c r="W282" s="58"/>
      <c r="X282" s="58"/>
      <c r="Y282" s="58"/>
      <c r="Z282" s="58"/>
      <c r="AA282" s="58"/>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3"/>
    </row>
    <row r="283" spans="1:63" s="1117" customFormat="1" ht="15" hidden="1" customHeight="1" thickBot="1">
      <c r="A283" s="58"/>
      <c r="B283" s="790"/>
      <c r="C283" s="166"/>
      <c r="D283" s="166"/>
      <c r="E283" s="1547" t="str">
        <f>IF(E282="","",IF(INDEX(B_InstallationDescription!$E$71:$E$145,MATCH(S282,B_InstallationDescription!$D$71:$D$145,0))&gt;0,INDEX(B_InstallationDescription!$E$71:$E$145,MATCH(S282,B_InstallationDescription!$D$71:$D$145,0)),""))</f>
        <v/>
      </c>
      <c r="F283" s="1548"/>
      <c r="G283" s="1548"/>
      <c r="H283" s="1548"/>
      <c r="I283" s="1548"/>
      <c r="J283" s="1549"/>
      <c r="K283" s="142"/>
      <c r="L283" s="142"/>
      <c r="M283" s="143"/>
      <c r="N283" s="143"/>
      <c r="O283" s="733"/>
      <c r="P283" s="494"/>
      <c r="Q283" s="30"/>
      <c r="R283" s="27" t="s">
        <v>93</v>
      </c>
      <c r="S283" s="30"/>
      <c r="T283" s="578" t="b">
        <v>1</v>
      </c>
      <c r="U283" s="518" t="str">
        <f>IF(E283="","",INDEX(CNTR_PFCMethod,MATCH(E282,CNTR_PFCSourceStreamNames,0)))</f>
        <v/>
      </c>
      <c r="V283" s="30"/>
      <c r="W283" s="494"/>
      <c r="X283" s="30"/>
      <c r="Y283" s="30"/>
      <c r="Z283" s="30"/>
      <c r="AA283" s="30"/>
      <c r="AB283" s="342"/>
      <c r="AC283" s="27" t="s">
        <v>308</v>
      </c>
      <c r="AD283" s="30"/>
      <c r="AE283" s="30"/>
      <c r="AF283" s="30"/>
      <c r="AG283" s="30"/>
      <c r="AH283" s="30"/>
      <c r="AI283" s="27" t="s">
        <v>315</v>
      </c>
      <c r="AJ283" s="30"/>
      <c r="AK283" s="30"/>
      <c r="AL283" s="30"/>
      <c r="AM283" s="30"/>
      <c r="AN283" s="27" t="s">
        <v>219</v>
      </c>
      <c r="AO283" s="30"/>
      <c r="AP283" s="30"/>
      <c r="AQ283" s="30"/>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0"/>
      <c r="BJ283" s="30"/>
      <c r="BK283" s="23"/>
    </row>
    <row r="284" spans="1:63" s="1117" customFormat="1" ht="4.5" hidden="1" customHeight="1">
      <c r="A284" s="58"/>
      <c r="B284" s="790"/>
      <c r="C284" s="166"/>
      <c r="D284" s="166"/>
      <c r="E284" s="166"/>
      <c r="F284" s="166"/>
      <c r="G284" s="166"/>
      <c r="H284" s="142"/>
      <c r="I284" s="142"/>
      <c r="J284" s="142"/>
      <c r="K284" s="142"/>
      <c r="L284" s="142"/>
      <c r="M284" s="143"/>
      <c r="N284" s="143"/>
      <c r="O284" s="733"/>
      <c r="P284" s="33"/>
      <c r="Q284" s="30"/>
      <c r="R284" s="489"/>
      <c r="S284" s="30"/>
      <c r="T284" s="30"/>
      <c r="U284" s="30"/>
      <c r="V284" s="30"/>
      <c r="W284" s="494"/>
      <c r="X284" s="30"/>
      <c r="Y284" s="30"/>
      <c r="Z284" s="30"/>
      <c r="AA284" s="30"/>
      <c r="AB284" s="342"/>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7" customFormat="1" ht="12.75" hidden="1" customHeight="1">
      <c r="A285" s="58"/>
      <c r="B285" s="790"/>
      <c r="C285" s="166"/>
      <c r="D285" s="166"/>
      <c r="E285" s="1550" t="str">
        <f>IF(E282="","",HYPERLINK("#JUMP_14",EUconst_FurtherGuidancePoint1))</f>
        <v/>
      </c>
      <c r="F285" s="1550"/>
      <c r="G285" s="1550"/>
      <c r="H285" s="1550"/>
      <c r="I285" s="1550"/>
      <c r="J285" s="1550"/>
      <c r="K285" s="1550"/>
      <c r="L285" s="1550"/>
      <c r="M285" s="143"/>
      <c r="N285" s="143"/>
      <c r="O285" s="733"/>
      <c r="P285" s="33"/>
      <c r="Q285" s="30"/>
      <c r="R285" s="489"/>
      <c r="S285" s="30"/>
      <c r="T285" s="30"/>
      <c r="U285" s="30"/>
      <c r="V285" s="30"/>
      <c r="W285" s="494"/>
      <c r="X285" s="30"/>
      <c r="Y285" s="30"/>
      <c r="Z285" s="30"/>
      <c r="AA285" s="30"/>
      <c r="AB285" s="342"/>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7" customFormat="1" ht="4.5" hidden="1" customHeight="1">
      <c r="A286" s="58"/>
      <c r="B286" s="790"/>
      <c r="C286" s="166"/>
      <c r="D286" s="166"/>
      <c r="E286" s="166"/>
      <c r="F286" s="166"/>
      <c r="G286" s="166"/>
      <c r="H286" s="142"/>
      <c r="I286" s="142"/>
      <c r="J286" s="142"/>
      <c r="K286" s="142"/>
      <c r="L286" s="142"/>
      <c r="M286" s="143"/>
      <c r="N286" s="143"/>
      <c r="O286" s="733"/>
      <c r="P286" s="33"/>
      <c r="Q286" s="30"/>
      <c r="R286" s="489"/>
      <c r="S286" s="30"/>
      <c r="T286" s="30"/>
      <c r="U286" s="30"/>
      <c r="V286" s="30"/>
      <c r="W286" s="494"/>
      <c r="X286" s="30"/>
      <c r="Y286" s="30"/>
      <c r="Z286" s="30"/>
      <c r="AA286" s="30"/>
      <c r="AB286" s="342"/>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7" customFormat="1" ht="12.75" hidden="1" customHeight="1" thickBot="1">
      <c r="A287" s="58"/>
      <c r="B287" s="790"/>
      <c r="C287" s="166"/>
      <c r="D287" s="166"/>
      <c r="E287" s="166"/>
      <c r="F287" s="506" t="str">
        <f>Translations!$B$333</f>
        <v>Pakopa</v>
      </c>
      <c r="G287" s="1557" t="str">
        <f>Translations!$B$672</f>
        <v>pakopos aprašas</v>
      </c>
      <c r="H287" s="1557"/>
      <c r="I287" s="1555" t="str">
        <f>Translations!$B$158</f>
        <v>Vienetas</v>
      </c>
      <c r="J287" s="1555"/>
      <c r="K287" s="1555" t="str">
        <f>Translations!$B$673</f>
        <v>Vertė</v>
      </c>
      <c r="L287" s="1555"/>
      <c r="M287" s="507" t="str">
        <f>Translations!$B$610</f>
        <v>klaida</v>
      </c>
      <c r="N287" s="142"/>
      <c r="O287" s="733"/>
      <c r="P287" s="508"/>
      <c r="Q287" s="30"/>
      <c r="R287" s="489"/>
      <c r="S287" s="30"/>
      <c r="T287" s="509" t="s">
        <v>303</v>
      </c>
      <c r="U287" s="30"/>
      <c r="V287" s="30"/>
      <c r="W287" s="494" t="s">
        <v>566</v>
      </c>
      <c r="X287" s="494" t="s">
        <v>318</v>
      </c>
      <c r="Y287" s="30"/>
      <c r="Z287" s="30"/>
      <c r="AA287" s="505" t="s">
        <v>309</v>
      </c>
      <c r="AB287" s="342"/>
      <c r="AC287" s="492" t="s">
        <v>306</v>
      </c>
      <c r="AD287" s="504" t="s">
        <v>569</v>
      </c>
      <c r="AE287" s="504" t="s">
        <v>568</v>
      </c>
      <c r="AF287" s="510"/>
      <c r="AG287" s="510"/>
      <c r="AH287" s="30"/>
      <c r="AI287" s="492"/>
      <c r="AJ287" s="492"/>
      <c r="AK287" s="492"/>
      <c r="AL287" s="492"/>
      <c r="AM287" s="492"/>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3" t="s">
        <v>262</v>
      </c>
      <c r="BK287" s="23"/>
    </row>
    <row r="288" spans="1:63" s="1117" customFormat="1" ht="1.5" hidden="1" customHeight="1" thickBot="1">
      <c r="A288" s="58"/>
      <c r="B288" s="790"/>
      <c r="C288" s="814" t="s">
        <v>4</v>
      </c>
      <c r="D288" s="512" t="str">
        <f>Translations!$B$622</f>
        <v>VD:</v>
      </c>
      <c r="E288" s="513"/>
      <c r="F288" s="402"/>
      <c r="G288" s="1532" t="str">
        <f>IF(OR(ISBLANK(F288),F288=EUconst_NoTier),"",IF(X288=0,EUconst_NA,IF(ISERROR(X288),"",X288)))</f>
        <v/>
      </c>
      <c r="H288" s="1533"/>
      <c r="I288" s="1619" t="str">
        <f>EUconst_t</f>
        <v>t</v>
      </c>
      <c r="J288" s="1620"/>
      <c r="K288" s="1630"/>
      <c r="L288" s="1631"/>
      <c r="M288" s="709" t="str">
        <f>IF(AND(E283&lt;&gt;"",OR(F288="",K288=""),W288&lt;&gt;EUconst_NA),EUconst_ERR_Incomplete,IF(COUNTIF(AI288:AL288,TRUE)&gt;0,EUconst_ERR_Inconsistent,""))</f>
        <v/>
      </c>
      <c r="N288" s="142"/>
      <c r="O288" s="733"/>
      <c r="P288" s="644"/>
      <c r="Q288" s="30"/>
      <c r="R288" s="514" t="str">
        <f>EUconst_CNTR_ActivityData&amp;E283</f>
        <v>ActivityData_</v>
      </c>
      <c r="S288" s="497"/>
      <c r="T288" s="514" t="str">
        <f>IF(E282="","",INDEX(B_InstallationDescription!$I$71:$I$145,MATCH(S282,B_InstallationDescription!$D$71:$D$145,0)))</f>
        <v/>
      </c>
      <c r="U288" s="30"/>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0"/>
      <c r="AE288" s="518">
        <f>IF(W288=EUconst_NA,1,IF(COUNT(K288:L288)=0,0,IF(L288="",K288,L288)))</f>
        <v>0</v>
      </c>
      <c r="AF288" s="510" t="s">
        <v>311</v>
      </c>
      <c r="AG288" s="510"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4" t="b">
        <f>OR(CNTR_PFCRelevant=EUconst_NotRelevant,AND(COUNTA(CNTR_ListRelevantSections)&gt;0,E282=""))</f>
        <v>1</v>
      </c>
      <c r="BK288" s="23"/>
    </row>
    <row r="289" spans="1:63" s="1117" customFormat="1" ht="4.5" hidden="1" customHeight="1">
      <c r="A289" s="58"/>
      <c r="B289" s="790"/>
      <c r="C289" s="814"/>
      <c r="D289" s="306"/>
      <c r="E289" s="142"/>
      <c r="F289" s="143"/>
      <c r="G289" s="143"/>
      <c r="H289" s="143" t="s">
        <v>236</v>
      </c>
      <c r="I289" s="525"/>
      <c r="J289" s="525"/>
      <c r="K289" s="143"/>
      <c r="L289" s="143"/>
      <c r="M289" s="710"/>
      <c r="N289" s="142"/>
      <c r="O289" s="733"/>
      <c r="P289" s="33"/>
      <c r="Q289" s="30"/>
      <c r="R289" s="155"/>
      <c r="S289" s="497"/>
      <c r="T289" s="30"/>
      <c r="U289" s="30"/>
      <c r="V289" s="497"/>
      <c r="W289" s="526"/>
      <c r="X289" s="30"/>
      <c r="Y289" s="30"/>
      <c r="Z289" s="30"/>
      <c r="AA289" s="30"/>
      <c r="AB289" s="342"/>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3"/>
      <c r="BK289" s="23"/>
    </row>
    <row r="290" spans="1:63" s="1117" customFormat="1" ht="12.75" hidden="1" customHeight="1">
      <c r="A290" s="58"/>
      <c r="B290" s="790"/>
      <c r="C290" s="814" t="s">
        <v>5</v>
      </c>
      <c r="D290" s="512" t="str">
        <f>Translations!$B$722</f>
        <v>A. Dažnis</v>
      </c>
      <c r="E290" s="513"/>
      <c r="F290" s="527"/>
      <c r="G290" s="1532" t="str">
        <f t="shared" ref="G290:G296" si="44">IF(OR(ISBLANK(F290),F290=EUconst_NoTier),"",IF(X290=0,EUconst_NotApplicable,IF(ISERROR(X290),"",X290)))</f>
        <v/>
      </c>
      <c r="H290" s="1556"/>
      <c r="I290" s="1624" t="str">
        <f>IF(W290=EUconst_NA,"",INDEX(PFCUnits,1))</f>
        <v>1/(vienoje elektrolizės vonioje per parą)</v>
      </c>
      <c r="J290" s="1625"/>
      <c r="K290" s="678" t="str">
        <f t="shared" ref="K290:K296" si="45">IF(L290="",AD290,"")</f>
        <v/>
      </c>
      <c r="L290" s="694"/>
      <c r="M290" s="709" t="str">
        <f>IF(AND(E283&lt;&gt;"",OR(F290="",L290=""),W290&lt;&gt;EUconst_NA),EUconst_ERR_Incomplete,IF(COUNTIF(AI290:AL290,TRUE)&gt;0,EUconst_ERR_Inconsistent,""))</f>
        <v/>
      </c>
      <c r="N290" s="495"/>
      <c r="O290" s="733"/>
      <c r="P290" s="33"/>
      <c r="Q290" s="30"/>
      <c r="R290" s="530" t="str">
        <f>R288</f>
        <v>ActivityData_</v>
      </c>
      <c r="S290" s="497"/>
      <c r="T290" s="657" t="str">
        <f>T288</f>
        <v/>
      </c>
      <c r="U290" s="30"/>
      <c r="V290" s="497">
        <v>1</v>
      </c>
      <c r="W290" s="672" t="str">
        <f>IF(E283="","",IF(U283&lt;&gt;V290,EUconst_NA,INDEX(EUwideConstants!$N:$N,MATCH(R290,EUwideConstants!$Q:$Q,0))))</f>
        <v/>
      </c>
      <c r="X290" s="533" t="str">
        <f>IF(ISBLANK(F290),"",IF(F290=EUconst_NA,"",INDEX(EUwideConstants!$H:$M,MATCH(R290,EUwideConstants!$Q:$Q,0),MATCH(F290,CNTR_TierList,0))))</f>
        <v/>
      </c>
      <c r="Y290" s="30"/>
      <c r="Z290" s="30"/>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0"/>
      <c r="AI290" s="30"/>
      <c r="AJ290" s="30"/>
      <c r="AK290" s="534" t="b">
        <f t="shared" ref="AK290:AK296" si="48">AND(L290&lt;&gt;"",W290=EUconst_NA)</f>
        <v>0</v>
      </c>
      <c r="AL290" s="30"/>
      <c r="AM290" s="30"/>
      <c r="AN290" s="30"/>
      <c r="AO290" s="493" t="s">
        <v>390</v>
      </c>
      <c r="AP290" s="493" t="s">
        <v>391</v>
      </c>
      <c r="AQ290" s="30"/>
      <c r="AR290" s="30"/>
      <c r="AS290" s="30"/>
      <c r="AT290" s="30"/>
      <c r="AU290" s="30"/>
      <c r="AV290" s="30"/>
      <c r="AW290" s="30"/>
      <c r="AX290" s="30"/>
      <c r="AY290" s="30"/>
      <c r="AZ290" s="30"/>
      <c r="BA290" s="30"/>
      <c r="BB290" s="30"/>
      <c r="BC290" s="30"/>
      <c r="BD290" s="30"/>
      <c r="BE290" s="30"/>
      <c r="BF290" s="30"/>
      <c r="BG290" s="30"/>
      <c r="BH290" s="30"/>
      <c r="BI290" s="30"/>
      <c r="BJ290" s="534" t="b">
        <f>OR(BJ288,W290=EUconst_NA)</f>
        <v>1</v>
      </c>
      <c r="BK290" s="23"/>
    </row>
    <row r="291" spans="1:63" s="1117" customFormat="1" ht="12.75" hidden="1" customHeight="1" thickBot="1">
      <c r="A291" s="58"/>
      <c r="B291" s="790"/>
      <c r="C291" s="814" t="s">
        <v>196</v>
      </c>
      <c r="D291" s="512" t="str">
        <f>Translations!$B$724</f>
        <v>A. Trukmė</v>
      </c>
      <c r="E291" s="513"/>
      <c r="F291" s="645"/>
      <c r="G291" s="1532" t="str">
        <f t="shared" si="44"/>
        <v/>
      </c>
      <c r="H291" s="1556"/>
      <c r="I291" s="1626" t="str">
        <f>IF(W291=EUconst_NA,"",INDEX(PFCUnits,2))</f>
        <v>min.</v>
      </c>
      <c r="J291" s="1627"/>
      <c r="K291" s="679" t="str">
        <f t="shared" si="45"/>
        <v/>
      </c>
      <c r="L291" s="695"/>
      <c r="M291" s="709" t="str">
        <f>IF(AND(E283&lt;&gt;"",OR(F291="",L291=""),W291&lt;&gt;EUconst_NA),EUconst_ERR_Incomplete,IF(COUNTIF(AI291:AL291,TRUE)&gt;0,EUconst_ERR_Inconsistent,""))</f>
        <v/>
      </c>
      <c r="N291" s="495"/>
      <c r="O291" s="733"/>
      <c r="P291" s="33"/>
      <c r="Q291" s="30"/>
      <c r="R291" s="552" t="str">
        <f>R290</f>
        <v>ActivityData_</v>
      </c>
      <c r="S291" s="497"/>
      <c r="T291" s="658" t="str">
        <f t="shared" ref="T291:T296" si="49">T290</f>
        <v/>
      </c>
      <c r="U291" s="30"/>
      <c r="V291" s="497">
        <v>1</v>
      </c>
      <c r="W291" s="671" t="str">
        <f>IF(E283="","",IF(U283&lt;&gt;V291,EUconst_NA,INDEX(EUwideConstants!$N:$N,MATCH(R291,EUwideConstants!$Q:$Q,0))))</f>
        <v/>
      </c>
      <c r="X291" s="555" t="str">
        <f>IF(ISBLANK(F291),"",IF(F291=EUconst_NA,"",INDEX(EUwideConstants!$H:$M,MATCH(R291,EUwideConstants!$Q:$Q,0),MATCH(F291,CNTR_TierList,0))))</f>
        <v/>
      </c>
      <c r="Y291" s="30"/>
      <c r="Z291" s="30"/>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0"/>
      <c r="AI291" s="30"/>
      <c r="AJ291" s="30"/>
      <c r="AK291" s="660" t="b">
        <f t="shared" si="48"/>
        <v>0</v>
      </c>
      <c r="AL291" s="30"/>
      <c r="AM291" s="30"/>
      <c r="AN291" s="547" t="s">
        <v>446</v>
      </c>
      <c r="AO291" s="546" t="str">
        <f>IF(ISNUMBER(U283),AE288*AE290*AE291*AE292/1000,"")</f>
        <v/>
      </c>
      <c r="AP291" s="524"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60" t="b">
        <f>OR(BJ288,W291=EUconst_NA)</f>
        <v>1</v>
      </c>
      <c r="BK291" s="23"/>
    </row>
    <row r="292" spans="1:63" s="1117" customFormat="1" ht="12.75" hidden="1" customHeight="1" thickBot="1">
      <c r="A292" s="58"/>
      <c r="B292" s="790"/>
      <c r="C292" s="814" t="s">
        <v>197</v>
      </c>
      <c r="D292" s="652" t="str">
        <f>Translations!$B$726</f>
        <v>A. NITF(CF4)</v>
      </c>
      <c r="E292" s="653"/>
      <c r="F292" s="548"/>
      <c r="G292" s="1628" t="str">
        <f t="shared" si="44"/>
        <v/>
      </c>
      <c r="H292" s="1629"/>
      <c r="I292" s="1626" t="str">
        <f>IF(W292=EUconst_NA,"",INDEX(PFCUnits,3))</f>
        <v>(kg CF4/t Al)/(min./vienoje elektrolizės vonioje per parą)</v>
      </c>
      <c r="J292" s="1627"/>
      <c r="K292" s="680" t="str">
        <f t="shared" si="45"/>
        <v/>
      </c>
      <c r="L292" s="683"/>
      <c r="M292" s="711" t="str">
        <f>IF(AND(E283&lt;&gt;"",OR(F292="",COUNT(K292:L292)=0),W292&lt;&gt;EUconst_NA),EUconst_ERR_Incomplete,IF(COUNTIF(AI292:AL292,TRUE)&gt;0,EUconst_ERR_Inconsistent,""))</f>
        <v/>
      </c>
      <c r="N292" s="142"/>
      <c r="O292" s="733"/>
      <c r="P292" s="33"/>
      <c r="Q292" s="30"/>
      <c r="R292" s="552" t="str">
        <f>EUconst_CNTR_EF&amp;$E283</f>
        <v>EF_</v>
      </c>
      <c r="S292" s="497"/>
      <c r="T292" s="658" t="str">
        <f t="shared" si="49"/>
        <v/>
      </c>
      <c r="U292" s="30"/>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0"/>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0"/>
      <c r="AI292" s="30"/>
      <c r="AJ292" s="30"/>
      <c r="AK292" s="660" t="b">
        <f t="shared" si="48"/>
        <v>0</v>
      </c>
      <c r="AL292" s="30"/>
      <c r="AM292" s="30"/>
      <c r="AN292" s="547" t="s">
        <v>447</v>
      </c>
      <c r="AO292" s="546">
        <f>IF(AND(ISNUMBER(AO291),AO291&gt;0),AO291*AE296,0)</f>
        <v>0</v>
      </c>
      <c r="AP292" s="524">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60" t="b">
        <f>OR(BJ288,W292=EUconst_NA)</f>
        <v>1</v>
      </c>
      <c r="BK292" s="23"/>
    </row>
    <row r="293" spans="1:63" s="1117" customFormat="1" ht="12.75" hidden="1" customHeight="1" thickBot="1">
      <c r="A293" s="58"/>
      <c r="B293" s="790"/>
      <c r="C293" s="814" t="s">
        <v>198</v>
      </c>
      <c r="D293" s="650" t="str">
        <f>Translations!$B$728</f>
        <v>B. AEV</v>
      </c>
      <c r="E293" s="651"/>
      <c r="F293" s="645"/>
      <c r="G293" s="1622" t="str">
        <f t="shared" si="44"/>
        <v/>
      </c>
      <c r="H293" s="1623"/>
      <c r="I293" s="1626" t="str">
        <f>IF(W293=EUconst_NA,"",INDEX(PFCUnits,4))</f>
        <v>mV</v>
      </c>
      <c r="J293" s="1627"/>
      <c r="K293" s="679" t="str">
        <f t="shared" si="45"/>
        <v/>
      </c>
      <c r="L293" s="695"/>
      <c r="M293" s="712" t="str">
        <f>IF(AND(E283&lt;&gt;"",OR(F293="",L293=""),W293&lt;&gt;EUconst_NA),EUconst_ERR_Incomplete,IF(COUNTIF(AI293:AL293,TRUE)&gt;0,EUconst_ERR_Inconsistent,""))</f>
        <v/>
      </c>
      <c r="N293" s="142"/>
      <c r="O293" s="733"/>
      <c r="P293" s="644"/>
      <c r="Q293" s="30"/>
      <c r="R293" s="552" t="str">
        <f>R288</f>
        <v>ActivityData_</v>
      </c>
      <c r="S293" s="497"/>
      <c r="T293" s="658" t="str">
        <f t="shared" si="49"/>
        <v/>
      </c>
      <c r="U293" s="30"/>
      <c r="V293" s="497">
        <v>2</v>
      </c>
      <c r="W293" s="671" t="str">
        <f>IF(E283="","",IF(U283&lt;&gt;V293,EUconst_NA,INDEX(EUwideConstants!$N:$N,MATCH(R293,EUwideConstants!$Q:$Q,0))))</f>
        <v/>
      </c>
      <c r="X293" s="555" t="str">
        <f>IF(ISBLANK(F293),"",IF(F293=EUconst_NA,"",INDEX(EUwideConstants!$H:$M,MATCH(R293,EUwideConstants!$Q:$Q,0),MATCH(F293,CNTR_TierList,0))))</f>
        <v/>
      </c>
      <c r="Y293" s="30"/>
      <c r="Z293" s="30"/>
      <c r="AA293" s="557" t="b">
        <f>AND(AA288,W293&lt;&gt;EUconst_NA)</f>
        <v>0</v>
      </c>
      <c r="AB293" s="342"/>
      <c r="AC293" s="676"/>
      <c r="AD293" s="676" t="str">
        <f>""</f>
        <v/>
      </c>
      <c r="AE293" s="660">
        <f t="shared" si="46"/>
        <v>0</v>
      </c>
      <c r="AF293" s="660" t="b">
        <f>AND(AA293=TRUE,OR(ISNUMBER(L293),NOT(ISNUMBER(Y293))))</f>
        <v>0</v>
      </c>
      <c r="AG293" s="660" t="b">
        <f t="shared" si="47"/>
        <v>0</v>
      </c>
      <c r="AH293" s="30"/>
      <c r="AI293" s="30"/>
      <c r="AJ293" s="30"/>
      <c r="AK293" s="660" t="b">
        <f t="shared" si="48"/>
        <v>0</v>
      </c>
      <c r="AL293" s="30"/>
      <c r="AM293" s="30"/>
      <c r="AN293" s="547" t="s">
        <v>446</v>
      </c>
      <c r="AO293" s="546" t="str">
        <f>IF(ISNUMBER(AO291),AO291*AE301,"")</f>
        <v/>
      </c>
      <c r="AP293" s="524"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60" t="b">
        <f>OR(BJ288,W293=EUconst_NA)</f>
        <v>1</v>
      </c>
      <c r="BK293" s="23"/>
    </row>
    <row r="294" spans="1:63" s="1117" customFormat="1" ht="12.75" hidden="1" customHeight="1" thickBot="1">
      <c r="A294" s="58"/>
      <c r="B294" s="790"/>
      <c r="C294" s="777" t="s">
        <v>199</v>
      </c>
      <c r="D294" s="512" t="str">
        <f>Translations!$B$730</f>
        <v>B. EN</v>
      </c>
      <c r="E294" s="513"/>
      <c r="F294" s="548"/>
      <c r="G294" s="1532" t="str">
        <f t="shared" si="44"/>
        <v/>
      </c>
      <c r="H294" s="1533"/>
      <c r="I294" s="1626" t="str">
        <f>IF(W294=EUconst_NA,"","-")</f>
        <v>-</v>
      </c>
      <c r="J294" s="1627"/>
      <c r="K294" s="681" t="str">
        <f t="shared" si="45"/>
        <v/>
      </c>
      <c r="L294" s="571"/>
      <c r="M294" s="709" t="str">
        <f>IF(AND(E283&lt;&gt;"",OR(F294="",L294=""),W294&lt;&gt;EUconst_NA),EUconst_ERR_Incomplete,IF(COUNTIF(AI294:AL294,TRUE)&gt;0,EUconst_ERR_Inconsistent,""))</f>
        <v/>
      </c>
      <c r="N294" s="142"/>
      <c r="O294" s="733"/>
      <c r="P294" s="644"/>
      <c r="Q294" s="30"/>
      <c r="R294" s="552" t="str">
        <f>R293</f>
        <v>ActivityData_</v>
      </c>
      <c r="S294" s="497"/>
      <c r="T294" s="658" t="str">
        <f t="shared" si="49"/>
        <v/>
      </c>
      <c r="U294" s="30"/>
      <c r="V294" s="497">
        <v>2</v>
      </c>
      <c r="W294" s="671" t="str">
        <f>IF(E283="","",IF(U283&lt;&gt;V294,EUconst_NA,INDEX(EUwideConstants!$N:$N,MATCH(R294,EUwideConstants!$Q:$Q,0))))</f>
        <v/>
      </c>
      <c r="X294" s="555" t="str">
        <f>IF(ISBLANK(F294),"",IF(F294=EUconst_NA,"",INDEX(EUwideConstants!$H:$M,MATCH(R294,EUwideConstants!$Q:$Q,0),MATCH(F294,CNTR_TierList,0))))</f>
        <v/>
      </c>
      <c r="Y294" s="30"/>
      <c r="Z294" s="30"/>
      <c r="AA294" s="557" t="b">
        <f>AND(AA288,W294&lt;&gt;EUconst_NA)</f>
        <v>0</v>
      </c>
      <c r="AB294" s="342"/>
      <c r="AC294" s="676"/>
      <c r="AD294" s="676" t="str">
        <f>""</f>
        <v/>
      </c>
      <c r="AE294" s="660">
        <f t="shared" si="46"/>
        <v>0</v>
      </c>
      <c r="AF294" s="660" t="b">
        <f>AND(AA294=TRUE,OR(ISNUMBER(L294),NOT(ISNUMBER(Y294))))</f>
        <v>0</v>
      </c>
      <c r="AG294" s="660" t="b">
        <f t="shared" si="47"/>
        <v>0</v>
      </c>
      <c r="AH294" s="30"/>
      <c r="AI294" s="30"/>
      <c r="AJ294" s="30"/>
      <c r="AK294" s="708" t="b">
        <f t="shared" si="48"/>
        <v>0</v>
      </c>
      <c r="AL294" s="524" t="b">
        <f>L294&gt;100%</f>
        <v>0</v>
      </c>
      <c r="AM294" s="30"/>
      <c r="AN294" s="547" t="s">
        <v>447</v>
      </c>
      <c r="AO294" s="546">
        <f>IF(ISNUMBER(AO292),AO292*AE302,"")</f>
        <v>0</v>
      </c>
      <c r="AP294" s="524">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60" t="b">
        <f>OR(BJ288,W294=EUconst_NA)</f>
        <v>1</v>
      </c>
      <c r="BK294" s="23"/>
    </row>
    <row r="295" spans="1:63" s="1117" customFormat="1" ht="12.75" hidden="1" customHeight="1" thickBot="1">
      <c r="A295" s="58"/>
      <c r="B295" s="790"/>
      <c r="C295" s="814" t="s">
        <v>200</v>
      </c>
      <c r="D295" s="652" t="str">
        <f>Translations!$B$732</f>
        <v>B. VĮK</v>
      </c>
      <c r="E295" s="653"/>
      <c r="F295" s="548"/>
      <c r="G295" s="1628" t="str">
        <f t="shared" si="44"/>
        <v/>
      </c>
      <c r="H295" s="1629"/>
      <c r="I295" s="1626" t="str">
        <f>IF(W295=EUconst_NA,"",INDEX(PFCUnits,6))</f>
        <v>(kg CF4)/(t Al mV)</v>
      </c>
      <c r="J295" s="1627"/>
      <c r="K295" s="681" t="str">
        <f t="shared" si="45"/>
        <v/>
      </c>
      <c r="L295" s="684"/>
      <c r="M295" s="711" t="str">
        <f>IF(AND(E283&lt;&gt;"",OR(F295="",COUNT(K295:L295)=0),W295&lt;&gt;EUconst_NA),EUconst_ERR_Incomplete,IF(COUNTIF(AI295:AL295,TRUE)&gt;0,EUconst_ERR_Inconsistent,""))</f>
        <v/>
      </c>
      <c r="N295" s="142"/>
      <c r="O295" s="733"/>
      <c r="P295" s="33"/>
      <c r="Q295" s="30"/>
      <c r="R295" s="552" t="str">
        <f>EUconst_CNTR_EF&amp;E283</f>
        <v>EF_</v>
      </c>
      <c r="S295" s="497"/>
      <c r="T295" s="658" t="str">
        <f t="shared" si="49"/>
        <v/>
      </c>
      <c r="U295" s="30"/>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0"/>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0"/>
      <c r="AI295" s="30"/>
      <c r="AJ295" s="30"/>
      <c r="AK295" s="660"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60" t="b">
        <f>OR(BJ288,W295=EUconst_NA)</f>
        <v>1</v>
      </c>
      <c r="BK295" s="23"/>
    </row>
    <row r="296" spans="1:63" s="1117" customFormat="1" ht="12.75" hidden="1" customHeight="1" thickBot="1">
      <c r="A296" s="58"/>
      <c r="B296" s="790"/>
      <c r="C296" s="814" t="s">
        <v>329</v>
      </c>
      <c r="D296" s="650" t="str">
        <f>Translations!$B$734</f>
        <v>F(C2F6)</v>
      </c>
      <c r="E296" s="651"/>
      <c r="F296" s="597"/>
      <c r="G296" s="1622" t="str">
        <f t="shared" si="44"/>
        <v/>
      </c>
      <c r="H296" s="1623"/>
      <c r="I296" s="1617" t="str">
        <f>IF(W296=EUconst_NA,"",INDEX(PFCUnits,7))</f>
        <v>t C2F6/t CF4</v>
      </c>
      <c r="J296" s="1618"/>
      <c r="K296" s="682" t="str">
        <f t="shared" si="45"/>
        <v/>
      </c>
      <c r="L296" s="685"/>
      <c r="M296" s="712" t="str">
        <f>IF(AND(E283&lt;&gt;"",OR(F296="",COUNT(K296:L296)=0),W296&lt;&gt;EUconst_NA),EUconst_ERR_Incomplete,IF(COUNTIF(AI296:AL296,TRUE)&gt;0,EUconst_ERR_Inconsistent,""))</f>
        <v/>
      </c>
      <c r="N296" s="142"/>
      <c r="O296" s="733"/>
      <c r="P296" s="33"/>
      <c r="Q296" s="30"/>
      <c r="R296" s="599" t="str">
        <f>EUconst_CNTR_EF&amp;E283</f>
        <v>EF_</v>
      </c>
      <c r="S296" s="497"/>
      <c r="T296" s="659" t="str">
        <f t="shared" si="49"/>
        <v/>
      </c>
      <c r="U296" s="30"/>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0"/>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0"/>
      <c r="AI296" s="30"/>
      <c r="AJ296" s="30"/>
      <c r="AK296" s="582"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2" t="b">
        <f>OR(BJ288,W296=EUconst_NA)</f>
        <v>1</v>
      </c>
      <c r="BK296" s="23"/>
    </row>
    <row r="297" spans="1:63" s="1117" customFormat="1" ht="4.5" hidden="1" customHeight="1">
      <c r="A297" s="58"/>
      <c r="B297" s="790"/>
      <c r="C297" s="166"/>
      <c r="D297" s="180"/>
      <c r="E297" s="142"/>
      <c r="F297" s="142"/>
      <c r="G297" s="142"/>
      <c r="H297" s="142"/>
      <c r="I297" s="142"/>
      <c r="J297" s="142"/>
      <c r="K297" s="142"/>
      <c r="L297" s="142"/>
      <c r="M297" s="704"/>
      <c r="N297" s="142"/>
      <c r="O297" s="733"/>
      <c r="P297" s="33"/>
      <c r="Q297" s="174"/>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7" customFormat="1" ht="12.75" hidden="1" customHeight="1">
      <c r="A298" s="58"/>
      <c r="B298" s="790"/>
      <c r="C298" s="777" t="s">
        <v>330</v>
      </c>
      <c r="D298" s="646" t="str">
        <f>Translations!$B$748</f>
        <v>Išmestas CF4 kiekis</v>
      </c>
      <c r="E298" s="647"/>
      <c r="F298" s="513"/>
      <c r="G298" s="513"/>
      <c r="H298" s="513"/>
      <c r="I298" s="1624" t="str">
        <f>EUconst_t</f>
        <v>t</v>
      </c>
      <c r="J298" s="1625"/>
      <c r="K298" s="513"/>
      <c r="L298" s="955" t="str">
        <f>IF(ISNUMBER(U283),INDEX(AO291:AP291,U283),"")</f>
        <v/>
      </c>
      <c r="M298" s="704"/>
      <c r="N298" s="142"/>
      <c r="O298" s="733"/>
      <c r="P298" s="33"/>
      <c r="Q298" s="174"/>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7" customFormat="1" ht="12.75" hidden="1" customHeight="1" thickBot="1">
      <c r="A299" s="58"/>
      <c r="B299" s="790"/>
      <c r="C299" s="777" t="s">
        <v>454</v>
      </c>
      <c r="D299" s="646" t="str">
        <f>Translations!$B$749</f>
        <v>Išmestas C2F6 kiekis</v>
      </c>
      <c r="E299" s="513"/>
      <c r="F299" s="513"/>
      <c r="G299" s="513"/>
      <c r="H299" s="513"/>
      <c r="I299" s="1617" t="str">
        <f>EUconst_t</f>
        <v>t</v>
      </c>
      <c r="J299" s="1618"/>
      <c r="K299" s="513"/>
      <c r="L299" s="956" t="str">
        <f>IF(ISNUMBER(U283),INDEX(AO292:AP292,U283),"")</f>
        <v/>
      </c>
      <c r="M299" s="704"/>
      <c r="N299" s="142"/>
      <c r="O299" s="733"/>
      <c r="P299" s="33"/>
      <c r="Q299" s="174"/>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7" customFormat="1" ht="5.0999999999999996" hidden="1" customHeight="1">
      <c r="A300" s="58"/>
      <c r="B300" s="790"/>
      <c r="C300" s="779"/>
      <c r="D300" s="180"/>
      <c r="E300" s="142"/>
      <c r="F300" s="142"/>
      <c r="G300" s="142"/>
      <c r="H300" s="142"/>
      <c r="I300" s="142"/>
      <c r="J300" s="142"/>
      <c r="K300" s="142"/>
      <c r="L300" s="142"/>
      <c r="M300" s="704"/>
      <c r="N300" s="142"/>
      <c r="O300" s="733"/>
      <c r="P300" s="33"/>
      <c r="Q300" s="174"/>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7" customFormat="1" ht="12.75" hidden="1" customHeight="1">
      <c r="A301" s="58"/>
      <c r="B301" s="790"/>
      <c r="C301" s="777" t="s">
        <v>455</v>
      </c>
      <c r="D301" s="646" t="str">
        <f>Translations!$B$736</f>
        <v>VAP(CF4)</v>
      </c>
      <c r="E301" s="647"/>
      <c r="F301" s="513"/>
      <c r="G301" s="513"/>
      <c r="H301" s="513"/>
      <c r="I301" s="1624" t="s">
        <v>444</v>
      </c>
      <c r="J301" s="1625"/>
      <c r="K301" s="648">
        <f>IF(L301="",7390,"")</f>
        <v>7390</v>
      </c>
      <c r="L301" s="968"/>
      <c r="M301" s="704"/>
      <c r="N301" s="142"/>
      <c r="O301" s="733"/>
      <c r="P301" s="644"/>
      <c r="Q301" s="174"/>
      <c r="R301" s="30"/>
      <c r="S301" s="30"/>
      <c r="T301" s="30"/>
      <c r="U301" s="30"/>
      <c r="V301" s="30"/>
      <c r="W301" s="30"/>
      <c r="X301" s="30"/>
      <c r="Y301" s="30"/>
      <c r="Z301" s="30"/>
      <c r="AA301" s="30"/>
      <c r="AB301" s="30"/>
      <c r="AC301" s="30"/>
      <c r="AD301" s="30"/>
      <c r="AE301" s="535">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1" t="b">
        <f>BJ288</f>
        <v>1</v>
      </c>
      <c r="BK301" s="23"/>
    </row>
    <row r="302" spans="1:63" s="1117" customFormat="1" ht="12.75" hidden="1" customHeight="1" thickBot="1">
      <c r="A302" s="58"/>
      <c r="B302" s="790"/>
      <c r="C302" s="777" t="s">
        <v>456</v>
      </c>
      <c r="D302" s="646" t="str">
        <f>Translations!$B$738</f>
        <v>VAP(C2F6)</v>
      </c>
      <c r="E302" s="647"/>
      <c r="F302" s="513"/>
      <c r="G302" s="513"/>
      <c r="H302" s="513"/>
      <c r="I302" s="1617" t="s">
        <v>445</v>
      </c>
      <c r="J302" s="1618"/>
      <c r="K302" s="649">
        <f>IF(L302="",12200,"")</f>
        <v>12200</v>
      </c>
      <c r="L302" s="969"/>
      <c r="M302" s="704"/>
      <c r="N302" s="142"/>
      <c r="O302" s="733"/>
      <c r="P302" s="33"/>
      <c r="Q302" s="174"/>
      <c r="R302" s="30"/>
      <c r="S302" s="30"/>
      <c r="T302" s="30"/>
      <c r="U302" s="30"/>
      <c r="V302" s="30"/>
      <c r="W302" s="30"/>
      <c r="X302" s="30"/>
      <c r="Y302" s="30"/>
      <c r="Z302" s="30"/>
      <c r="AA302" s="30"/>
      <c r="AB302" s="30"/>
      <c r="AC302" s="30"/>
      <c r="AD302" s="30"/>
      <c r="AE302" s="674">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80" t="b">
        <f>BJ301</f>
        <v>1</v>
      </c>
      <c r="BK302" s="23"/>
    </row>
    <row r="303" spans="1:63" s="1117" customFormat="1" ht="5.0999999999999996" hidden="1" customHeight="1">
      <c r="A303" s="58"/>
      <c r="B303" s="790"/>
      <c r="C303" s="779"/>
      <c r="D303" s="306"/>
      <c r="E303" s="495"/>
      <c r="F303" s="142"/>
      <c r="G303" s="142"/>
      <c r="H303" s="142"/>
      <c r="I303" s="142"/>
      <c r="J303" s="142"/>
      <c r="K303" s="142"/>
      <c r="L303" s="704"/>
      <c r="M303" s="704"/>
      <c r="N303" s="142"/>
      <c r="O303" s="733"/>
      <c r="P303" s="33"/>
      <c r="Q303" s="174"/>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7" customFormat="1" ht="12.75" hidden="1" customHeight="1">
      <c r="A304" s="58"/>
      <c r="B304" s="790"/>
      <c r="C304" s="777" t="s">
        <v>457</v>
      </c>
      <c r="D304" s="646" t="str">
        <f>Translations!$B$748</f>
        <v>Išmestas CF4 kiekis</v>
      </c>
      <c r="E304" s="647"/>
      <c r="F304" s="513"/>
      <c r="G304" s="513"/>
      <c r="H304" s="513"/>
      <c r="I304" s="1624" t="s">
        <v>260</v>
      </c>
      <c r="J304" s="1625"/>
      <c r="K304" s="513"/>
      <c r="L304" s="705" t="str">
        <f>IF(ISNUMBER(U283),INDEX(AO293:AP293,U283),"")</f>
        <v/>
      </c>
      <c r="M304" s="704"/>
      <c r="N304" s="142"/>
      <c r="O304" s="733"/>
      <c r="P304" s="644"/>
      <c r="Q304" s="174"/>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7" customFormat="1" ht="12.75" hidden="1" customHeight="1" thickBot="1">
      <c r="A305" s="58"/>
      <c r="B305" s="790"/>
      <c r="C305" s="777" t="s">
        <v>458</v>
      </c>
      <c r="D305" s="646" t="str">
        <f>Translations!$B$749</f>
        <v>Išmestas C2F6 kiekis</v>
      </c>
      <c r="E305" s="513"/>
      <c r="F305" s="513"/>
      <c r="G305" s="513"/>
      <c r="H305" s="513"/>
      <c r="I305" s="1617" t="s">
        <v>260</v>
      </c>
      <c r="J305" s="1618"/>
      <c r="K305" s="513"/>
      <c r="L305" s="706" t="str">
        <f>IF(ISNUMBER(U283),INDEX(AO294:AP294,U283),"")</f>
        <v/>
      </c>
      <c r="M305" s="704"/>
      <c r="N305" s="142"/>
      <c r="O305" s="733"/>
      <c r="P305" s="33"/>
      <c r="Q305" s="174"/>
      <c r="R305" s="30"/>
      <c r="S305" s="30"/>
      <c r="T305" s="30"/>
      <c r="U305" s="30"/>
      <c r="V305" s="30"/>
      <c r="W305" s="30"/>
      <c r="X305" s="30"/>
      <c r="Y305" s="30"/>
      <c r="Z305" s="30"/>
      <c r="AA305" s="30"/>
      <c r="AB305" s="30"/>
      <c r="AC305" s="30"/>
      <c r="AD305" s="30"/>
      <c r="AE305" s="492"/>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7" customFormat="1" ht="5.0999999999999996" hidden="1" customHeight="1">
      <c r="A306" s="58"/>
      <c r="B306" s="790"/>
      <c r="C306" s="779"/>
      <c r="D306" s="180"/>
      <c r="E306" s="142"/>
      <c r="F306" s="142"/>
      <c r="G306" s="142"/>
      <c r="H306" s="142"/>
      <c r="I306" s="142"/>
      <c r="J306" s="142"/>
      <c r="K306" s="142"/>
      <c r="L306" s="142"/>
      <c r="M306" s="704"/>
      <c r="N306" s="142"/>
      <c r="O306" s="733"/>
      <c r="P306" s="33"/>
      <c r="Q306" s="174"/>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7" customFormat="1" ht="12.75" hidden="1" customHeight="1" thickBot="1">
      <c r="A307" s="58"/>
      <c r="B307" s="790"/>
      <c r="C307" s="777" t="s">
        <v>459</v>
      </c>
      <c r="D307" s="646" t="str">
        <f>Translations!$B$167</f>
        <v>Surinkimo efektyvumas</v>
      </c>
      <c r="E307" s="513"/>
      <c r="F307" s="513"/>
      <c r="G307" s="513"/>
      <c r="H307" s="513"/>
      <c r="I307" s="1619" t="s">
        <v>261</v>
      </c>
      <c r="J307" s="1620"/>
      <c r="K307" s="513"/>
      <c r="L307" s="970"/>
      <c r="M307" s="709" t="str">
        <f>IF(AND(E283&lt;&gt;"",L307=""),EUconst_ERR_Incomplete,IF(COUNTIF(AI307:AL307,TRUE)&gt;0,EUconst_ERR_Inconsistent,""))</f>
        <v/>
      </c>
      <c r="N307" s="142"/>
      <c r="O307" s="733"/>
      <c r="P307" s="644"/>
      <c r="Q307" s="174"/>
      <c r="R307" s="30"/>
      <c r="S307" s="30"/>
      <c r="T307" s="30"/>
      <c r="U307" s="30"/>
      <c r="V307" s="30"/>
      <c r="W307" s="30"/>
      <c r="X307" s="30"/>
      <c r="Y307" s="30"/>
      <c r="Z307" s="30"/>
      <c r="AA307" s="30"/>
      <c r="AB307" s="30"/>
      <c r="AC307" s="30"/>
      <c r="AD307" s="30"/>
      <c r="AE307" s="30"/>
      <c r="AF307" s="30"/>
      <c r="AG307" s="30"/>
      <c r="AH307" s="30"/>
      <c r="AI307" s="30"/>
      <c r="AJ307" s="30"/>
      <c r="AK307" s="30"/>
      <c r="AL307" s="524"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4" t="b">
        <f>BJ288</f>
        <v>1</v>
      </c>
      <c r="BK307" s="23"/>
    </row>
    <row r="308" spans="1:63" s="1117" customFormat="1" ht="5.0999999999999996" hidden="1" customHeight="1">
      <c r="A308" s="58"/>
      <c r="B308" s="790"/>
      <c r="C308" s="166"/>
      <c r="D308" s="180"/>
      <c r="E308" s="142"/>
      <c r="F308" s="142"/>
      <c r="G308" s="142"/>
      <c r="H308" s="142"/>
      <c r="I308" s="142"/>
      <c r="J308" s="142"/>
      <c r="K308" s="142"/>
      <c r="L308" s="142"/>
      <c r="M308" s="142"/>
      <c r="N308" s="142"/>
      <c r="O308" s="733"/>
      <c r="P308" s="33"/>
      <c r="Q308" s="174"/>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7" customFormat="1" ht="12.75" hidden="1" customHeight="1" thickBot="1">
      <c r="A309" s="58"/>
      <c r="B309" s="790"/>
      <c r="C309" s="166"/>
      <c r="D309" s="1558" t="str">
        <f>Translations!$B$674</f>
        <v>Pakopos galioja nuo:</v>
      </c>
      <c r="E309" s="1558"/>
      <c r="F309" s="1559"/>
      <c r="G309" s="616"/>
      <c r="H309" s="615" t="str">
        <f>Translations!$B$675</f>
        <v>iki:</v>
      </c>
      <c r="I309" s="616"/>
      <c r="J309" s="142"/>
      <c r="K309" s="142"/>
      <c r="L309" s="142"/>
      <c r="M309" s="142"/>
      <c r="N309" s="142"/>
      <c r="O309" s="733"/>
      <c r="P309" s="33"/>
      <c r="Q309" s="174"/>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4" t="b">
        <f>BJ288</f>
        <v>1</v>
      </c>
      <c r="BK309" s="23"/>
    </row>
    <row r="310" spans="1:63" s="1117" customFormat="1" ht="5.0999999999999996" hidden="1" customHeight="1">
      <c r="A310" s="30"/>
      <c r="B310" s="572"/>
      <c r="C310" s="142"/>
      <c r="D310" s="180"/>
      <c r="E310" s="142"/>
      <c r="F310" s="142"/>
      <c r="G310" s="142"/>
      <c r="H310" s="142"/>
      <c r="I310" s="142"/>
      <c r="J310" s="142"/>
      <c r="K310" s="142"/>
      <c r="L310" s="142"/>
      <c r="M310" s="142"/>
      <c r="N310" s="142"/>
      <c r="O310" s="573"/>
      <c r="P310" s="497"/>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7" customFormat="1" ht="12.75" hidden="1" customHeight="1" thickBot="1">
      <c r="A311" s="30"/>
      <c r="B311" s="572"/>
      <c r="C311" s="142"/>
      <c r="D311" s="1534" t="str">
        <f>Translations!$B$160</f>
        <v>Pastabos:</v>
      </c>
      <c r="E311" s="1535"/>
      <c r="F311" s="1621"/>
      <c r="G311" s="1621"/>
      <c r="H311" s="1621"/>
      <c r="I311" s="1621"/>
      <c r="J311" s="1621"/>
      <c r="K311" s="1621"/>
      <c r="L311" s="1621"/>
      <c r="M311" s="1621"/>
      <c r="N311" s="1621"/>
      <c r="O311" s="573"/>
      <c r="P311" s="497"/>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4" t="b">
        <f>BJ309</f>
        <v>1</v>
      </c>
      <c r="BK311" s="23"/>
    </row>
    <row r="312" spans="1:63" s="1114" customFormat="1" ht="12.75" hidden="1" customHeight="1" thickBot="1">
      <c r="A312" s="58"/>
      <c r="B312" s="838"/>
      <c r="C312" s="499"/>
      <c r="D312" s="500"/>
      <c r="E312" s="501"/>
      <c r="F312" s="499"/>
      <c r="G312" s="502"/>
      <c r="H312" s="502"/>
      <c r="I312" s="502"/>
      <c r="J312" s="502"/>
      <c r="K312" s="502"/>
      <c r="L312" s="502"/>
      <c r="M312" s="502"/>
      <c r="N312" s="502"/>
      <c r="O312" s="740"/>
      <c r="P312" s="494"/>
      <c r="Q312" s="58"/>
      <c r="R312" s="58"/>
      <c r="S312" s="498"/>
      <c r="T312" s="58"/>
      <c r="U312" s="58"/>
      <c r="V312" s="49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4" customFormat="1" ht="12.75" hidden="1" customHeight="1">
      <c r="A313" s="491"/>
      <c r="B313" s="838"/>
      <c r="C313" s="495"/>
      <c r="D313" s="180"/>
      <c r="E313" s="496"/>
      <c r="F313" s="495"/>
      <c r="G313" s="487"/>
      <c r="H313" s="487"/>
      <c r="I313" s="487"/>
      <c r="J313" s="487"/>
      <c r="K313" s="495"/>
      <c r="L313" s="487"/>
      <c r="M313" s="487"/>
      <c r="N313" s="487"/>
      <c r="O313" s="740"/>
      <c r="P313" s="494"/>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7" customFormat="1" ht="15" hidden="1" customHeight="1" thickBot="1">
      <c r="A314" s="58"/>
      <c r="B314" s="790"/>
      <c r="C314" s="617">
        <f>C282+1</f>
        <v>9</v>
      </c>
      <c r="D314" s="343"/>
      <c r="E314" s="1542"/>
      <c r="F314" s="1543"/>
      <c r="G314" s="1543"/>
      <c r="H314" s="1543"/>
      <c r="I314" s="1543"/>
      <c r="J314" s="1544"/>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7" t="str">
        <f>IF(ISBLANK(E314),"",MATCH(E314,CNTR_SourceStreamNames,0))</f>
        <v/>
      </c>
      <c r="S314" s="618" t="str">
        <f>IF(ISBLANK(E314),"",INDEX(B_InstallationDescription!$D$71:$D$145,MATCH(E314,CNTR_SourceStreamNames,0)))</f>
        <v/>
      </c>
      <c r="T314" s="509" t="s">
        <v>393</v>
      </c>
      <c r="U314" s="686" t="s">
        <v>67</v>
      </c>
      <c r="V314" s="58"/>
      <c r="W314" s="58"/>
      <c r="X314" s="58"/>
      <c r="Y314" s="58"/>
      <c r="Z314" s="58"/>
      <c r="AA314" s="58"/>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3"/>
    </row>
    <row r="315" spans="1:63" s="1117" customFormat="1" ht="15" hidden="1" customHeight="1" thickBot="1">
      <c r="A315" s="58"/>
      <c r="B315" s="790"/>
      <c r="C315" s="166"/>
      <c r="D315" s="166"/>
      <c r="E315" s="1547" t="str">
        <f>IF(E314="","",IF(INDEX(B_InstallationDescription!$E$71:$E$145,MATCH(S314,B_InstallationDescription!$D$71:$D$145,0))&gt;0,INDEX(B_InstallationDescription!$E$71:$E$145,MATCH(S314,B_InstallationDescription!$D$71:$D$145,0)),""))</f>
        <v/>
      </c>
      <c r="F315" s="1548"/>
      <c r="G315" s="1548"/>
      <c r="H315" s="1548"/>
      <c r="I315" s="1548"/>
      <c r="J315" s="1549"/>
      <c r="K315" s="142"/>
      <c r="L315" s="142"/>
      <c r="M315" s="143"/>
      <c r="N315" s="143"/>
      <c r="O315" s="733"/>
      <c r="P315" s="494"/>
      <c r="Q315" s="30"/>
      <c r="R315" s="27" t="s">
        <v>93</v>
      </c>
      <c r="S315" s="30"/>
      <c r="T315" s="578" t="b">
        <v>1</v>
      </c>
      <c r="U315" s="518" t="str">
        <f>IF(E315="","",INDEX(CNTR_PFCMethod,MATCH(E314,CNTR_PFCSourceStreamNames,0)))</f>
        <v/>
      </c>
      <c r="V315" s="30"/>
      <c r="W315" s="494"/>
      <c r="X315" s="30"/>
      <c r="Y315" s="30"/>
      <c r="Z315" s="30"/>
      <c r="AA315" s="30"/>
      <c r="AB315" s="342"/>
      <c r="AC315" s="27" t="s">
        <v>308</v>
      </c>
      <c r="AD315" s="30"/>
      <c r="AE315" s="30"/>
      <c r="AF315" s="30"/>
      <c r="AG315" s="30"/>
      <c r="AH315" s="30"/>
      <c r="AI315" s="27" t="s">
        <v>315</v>
      </c>
      <c r="AJ315" s="30"/>
      <c r="AK315" s="30"/>
      <c r="AL315" s="30"/>
      <c r="AM315" s="30"/>
      <c r="AN315" s="27" t="s">
        <v>219</v>
      </c>
      <c r="AO315" s="30"/>
      <c r="AP315" s="30"/>
      <c r="AQ315" s="30"/>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0"/>
      <c r="BJ315" s="30"/>
      <c r="BK315" s="23"/>
    </row>
    <row r="316" spans="1:63" s="1117" customFormat="1" ht="5.0999999999999996" hidden="1" customHeight="1">
      <c r="A316" s="58"/>
      <c r="B316" s="790"/>
      <c r="C316" s="166"/>
      <c r="D316" s="166"/>
      <c r="E316" s="166"/>
      <c r="F316" s="166"/>
      <c r="G316" s="166"/>
      <c r="H316" s="142"/>
      <c r="I316" s="142"/>
      <c r="J316" s="142"/>
      <c r="K316" s="142"/>
      <c r="L316" s="142"/>
      <c r="M316" s="143"/>
      <c r="N316" s="143"/>
      <c r="O316" s="733"/>
      <c r="P316" s="33"/>
      <c r="Q316" s="30"/>
      <c r="R316" s="489"/>
      <c r="S316" s="30"/>
      <c r="T316" s="30"/>
      <c r="U316" s="30"/>
      <c r="V316" s="30"/>
      <c r="W316" s="494"/>
      <c r="X316" s="30"/>
      <c r="Y316" s="30"/>
      <c r="Z316" s="30"/>
      <c r="AA316" s="30"/>
      <c r="AB316" s="342"/>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7" customFormat="1" ht="12.75" hidden="1" customHeight="1">
      <c r="A317" s="58"/>
      <c r="B317" s="790"/>
      <c r="C317" s="166"/>
      <c r="D317" s="166"/>
      <c r="E317" s="1550" t="str">
        <f>IF(E314="","",HYPERLINK("#JUMP_14",EUconst_FurtherGuidancePoint1))</f>
        <v/>
      </c>
      <c r="F317" s="1550"/>
      <c r="G317" s="1550"/>
      <c r="H317" s="1550"/>
      <c r="I317" s="1550"/>
      <c r="J317" s="1550"/>
      <c r="K317" s="1550"/>
      <c r="L317" s="1550"/>
      <c r="M317" s="143"/>
      <c r="N317" s="143"/>
      <c r="O317" s="733"/>
      <c r="P317" s="33"/>
      <c r="Q317" s="30"/>
      <c r="R317" s="489"/>
      <c r="S317" s="30"/>
      <c r="T317" s="30"/>
      <c r="U317" s="30"/>
      <c r="V317" s="30"/>
      <c r="W317" s="494"/>
      <c r="X317" s="30"/>
      <c r="Y317" s="30"/>
      <c r="Z317" s="30"/>
      <c r="AA317" s="30"/>
      <c r="AB317" s="342"/>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7" customFormat="1" ht="5.0999999999999996" hidden="1" customHeight="1">
      <c r="A318" s="58"/>
      <c r="B318" s="790"/>
      <c r="C318" s="166"/>
      <c r="D318" s="166"/>
      <c r="E318" s="166"/>
      <c r="F318" s="166"/>
      <c r="G318" s="166"/>
      <c r="H318" s="142"/>
      <c r="I318" s="142"/>
      <c r="J318" s="142"/>
      <c r="K318" s="142"/>
      <c r="L318" s="142"/>
      <c r="M318" s="143"/>
      <c r="N318" s="143"/>
      <c r="O318" s="733"/>
      <c r="P318" s="33"/>
      <c r="Q318" s="30"/>
      <c r="R318" s="489"/>
      <c r="S318" s="30"/>
      <c r="T318" s="30"/>
      <c r="U318" s="30"/>
      <c r="V318" s="30"/>
      <c r="W318" s="494"/>
      <c r="X318" s="30"/>
      <c r="Y318" s="30"/>
      <c r="Z318" s="30"/>
      <c r="AA318" s="30"/>
      <c r="AB318" s="342"/>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7" customFormat="1" ht="12.75" hidden="1" customHeight="1" thickBot="1">
      <c r="A319" s="58"/>
      <c r="B319" s="790"/>
      <c r="C319" s="166"/>
      <c r="D319" s="166"/>
      <c r="E319" s="166"/>
      <c r="F319" s="506" t="str">
        <f>Translations!$B$333</f>
        <v>Pakopa</v>
      </c>
      <c r="G319" s="1557" t="str">
        <f>Translations!$B$672</f>
        <v>pakopos aprašas</v>
      </c>
      <c r="H319" s="1557"/>
      <c r="I319" s="1555" t="str">
        <f>Translations!$B$158</f>
        <v>Vienetas</v>
      </c>
      <c r="J319" s="1555"/>
      <c r="K319" s="1555" t="str">
        <f>Translations!$B$673</f>
        <v>Vertė</v>
      </c>
      <c r="L319" s="1555"/>
      <c r="M319" s="507" t="str">
        <f>Translations!$B$610</f>
        <v>klaida</v>
      </c>
      <c r="N319" s="142"/>
      <c r="O319" s="733"/>
      <c r="P319" s="508"/>
      <c r="Q319" s="30"/>
      <c r="R319" s="489"/>
      <c r="S319" s="30"/>
      <c r="T319" s="509" t="s">
        <v>303</v>
      </c>
      <c r="U319" s="30"/>
      <c r="V319" s="30"/>
      <c r="W319" s="494" t="s">
        <v>566</v>
      </c>
      <c r="X319" s="494" t="s">
        <v>318</v>
      </c>
      <c r="Y319" s="30"/>
      <c r="Z319" s="30"/>
      <c r="AA319" s="505" t="s">
        <v>309</v>
      </c>
      <c r="AB319" s="342"/>
      <c r="AC319" s="492" t="s">
        <v>306</v>
      </c>
      <c r="AD319" s="504" t="s">
        <v>569</v>
      </c>
      <c r="AE319" s="504" t="s">
        <v>568</v>
      </c>
      <c r="AF319" s="510"/>
      <c r="AG319" s="510"/>
      <c r="AH319" s="30"/>
      <c r="AI319" s="492"/>
      <c r="AJ319" s="492"/>
      <c r="AK319" s="492"/>
      <c r="AL319" s="492"/>
      <c r="AM319" s="492"/>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3" t="s">
        <v>262</v>
      </c>
      <c r="BK319" s="23"/>
    </row>
    <row r="320" spans="1:63" s="1117" customFormat="1" ht="12.75" hidden="1" customHeight="1" thickBot="1">
      <c r="A320" s="58"/>
      <c r="B320" s="790"/>
      <c r="C320" s="814" t="s">
        <v>4</v>
      </c>
      <c r="D320" s="512" t="str">
        <f>Translations!$B$622</f>
        <v>VD:</v>
      </c>
      <c r="E320" s="513"/>
      <c r="F320" s="402"/>
      <c r="G320" s="1532" t="str">
        <f>IF(OR(ISBLANK(F320),F320=EUconst_NoTier),"",IF(X320=0,EUconst_NA,IF(ISERROR(X320),"",X320)))</f>
        <v/>
      </c>
      <c r="H320" s="1533"/>
      <c r="I320" s="1619" t="str">
        <f>EUconst_t</f>
        <v>t</v>
      </c>
      <c r="J320" s="1620"/>
      <c r="K320" s="1630"/>
      <c r="L320" s="1631"/>
      <c r="M320" s="709" t="str">
        <f>IF(AND(E315&lt;&gt;"",OR(F320="",K320=""),W320&lt;&gt;EUconst_NA),EUconst_ERR_Incomplete,IF(COUNTIF(AI320:AL320,TRUE)&gt;0,EUconst_ERR_Inconsistent,""))</f>
        <v/>
      </c>
      <c r="N320" s="142"/>
      <c r="O320" s="733"/>
      <c r="P320" s="644"/>
      <c r="Q320" s="30"/>
      <c r="R320" s="514" t="str">
        <f>EUconst_CNTR_ActivityData&amp;E315</f>
        <v>ActivityData_</v>
      </c>
      <c r="S320" s="497"/>
      <c r="T320" s="514" t="str">
        <f>IF(E314="","",INDEX(B_InstallationDescription!$I$71:$I$145,MATCH(S314,B_InstallationDescription!$D$71:$D$145,0)))</f>
        <v/>
      </c>
      <c r="U320" s="30"/>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0"/>
      <c r="AE320" s="518">
        <f>IF(W320=EUconst_NA,1,IF(COUNT(K320:L320)=0,0,IF(L320="",K320,L320)))</f>
        <v>0</v>
      </c>
      <c r="AF320" s="510" t="s">
        <v>311</v>
      </c>
      <c r="AG320" s="510"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4" t="b">
        <f>OR(CNTR_PFCRelevant=EUconst_NotRelevant,AND(COUNTA(CNTR_ListRelevantSections)&gt;0,E314=""))</f>
        <v>1</v>
      </c>
      <c r="BK320" s="23"/>
    </row>
    <row r="321" spans="1:63" s="1117" customFormat="1" ht="5.0999999999999996" hidden="1" customHeight="1">
      <c r="A321" s="58"/>
      <c r="B321" s="790"/>
      <c r="C321" s="814"/>
      <c r="D321" s="306"/>
      <c r="E321" s="142"/>
      <c r="F321" s="143"/>
      <c r="G321" s="143"/>
      <c r="H321" s="143" t="s">
        <v>236</v>
      </c>
      <c r="I321" s="525"/>
      <c r="J321" s="525"/>
      <c r="K321" s="143"/>
      <c r="L321" s="143"/>
      <c r="M321" s="710"/>
      <c r="N321" s="142"/>
      <c r="O321" s="733"/>
      <c r="P321" s="33"/>
      <c r="Q321" s="30"/>
      <c r="R321" s="155"/>
      <c r="S321" s="497"/>
      <c r="T321" s="30"/>
      <c r="U321" s="30"/>
      <c r="V321" s="497"/>
      <c r="W321" s="526"/>
      <c r="X321" s="30"/>
      <c r="Y321" s="30"/>
      <c r="Z321" s="30"/>
      <c r="AA321" s="30"/>
      <c r="AB321" s="342"/>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3"/>
      <c r="BK321" s="23"/>
    </row>
    <row r="322" spans="1:63" s="1117" customFormat="1" ht="12.75" hidden="1" customHeight="1">
      <c r="A322" s="58"/>
      <c r="B322" s="790"/>
      <c r="C322" s="814" t="s">
        <v>5</v>
      </c>
      <c r="D322" s="512" t="str">
        <f>Translations!$B$722</f>
        <v>A. Dažnis</v>
      </c>
      <c r="E322" s="513"/>
      <c r="F322" s="527"/>
      <c r="G322" s="1532" t="str">
        <f t="shared" ref="G322:G328" si="50">IF(OR(ISBLANK(F322),F322=EUconst_NoTier),"",IF(X322=0,EUconst_NotApplicable,IF(ISERROR(X322),"",X322)))</f>
        <v/>
      </c>
      <c r="H322" s="1556"/>
      <c r="I322" s="1624" t="str">
        <f>IF(W322=EUconst_NA,"",INDEX(PFCUnits,1))</f>
        <v>1/(vienoje elektrolizės vonioje per parą)</v>
      </c>
      <c r="J322" s="1625"/>
      <c r="K322" s="678" t="str">
        <f t="shared" ref="K322:K328" si="51">IF(L322="",AD322,"")</f>
        <v/>
      </c>
      <c r="L322" s="694"/>
      <c r="M322" s="709" t="str">
        <f>IF(AND(E315&lt;&gt;"",OR(F322="",L322=""),W322&lt;&gt;EUconst_NA),EUconst_ERR_Incomplete,IF(COUNTIF(AI322:AL322,TRUE)&gt;0,EUconst_ERR_Inconsistent,""))</f>
        <v/>
      </c>
      <c r="N322" s="495"/>
      <c r="O322" s="733"/>
      <c r="P322" s="33"/>
      <c r="Q322" s="30"/>
      <c r="R322" s="530" t="str">
        <f>R320</f>
        <v>ActivityData_</v>
      </c>
      <c r="S322" s="497"/>
      <c r="T322" s="657" t="str">
        <f>T320</f>
        <v/>
      </c>
      <c r="U322" s="30"/>
      <c r="V322" s="497">
        <v>1</v>
      </c>
      <c r="W322" s="672" t="str">
        <f>IF(E315="","",IF(U315&lt;&gt;V322,EUconst_NA,INDEX(EUwideConstants!$N:$N,MATCH(R322,EUwideConstants!$Q:$Q,0))))</f>
        <v/>
      </c>
      <c r="X322" s="533" t="str">
        <f>IF(ISBLANK(F322),"",IF(F322=EUconst_NA,"",INDEX(EUwideConstants!$H:$M,MATCH(R322,EUwideConstants!$Q:$Q,0),MATCH(F322,CNTR_TierList,0))))</f>
        <v/>
      </c>
      <c r="Y322" s="30"/>
      <c r="Z322" s="30"/>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0"/>
      <c r="AI322" s="30"/>
      <c r="AJ322" s="30"/>
      <c r="AK322" s="534" t="b">
        <f t="shared" ref="AK322:AK328" si="54">AND(L322&lt;&gt;"",W322=EUconst_NA)</f>
        <v>0</v>
      </c>
      <c r="AL322" s="30"/>
      <c r="AM322" s="30"/>
      <c r="AN322" s="30"/>
      <c r="AO322" s="493" t="s">
        <v>390</v>
      </c>
      <c r="AP322" s="493" t="s">
        <v>391</v>
      </c>
      <c r="AQ322" s="30"/>
      <c r="AR322" s="30"/>
      <c r="AS322" s="30"/>
      <c r="AT322" s="30"/>
      <c r="AU322" s="30"/>
      <c r="AV322" s="30"/>
      <c r="AW322" s="30"/>
      <c r="AX322" s="30"/>
      <c r="AY322" s="30"/>
      <c r="AZ322" s="30"/>
      <c r="BA322" s="30"/>
      <c r="BB322" s="30"/>
      <c r="BC322" s="30"/>
      <c r="BD322" s="30"/>
      <c r="BE322" s="30"/>
      <c r="BF322" s="30"/>
      <c r="BG322" s="30"/>
      <c r="BH322" s="30"/>
      <c r="BI322" s="30"/>
      <c r="BJ322" s="534" t="b">
        <f>OR(BJ320,W322=EUconst_NA)</f>
        <v>1</v>
      </c>
      <c r="BK322" s="23"/>
    </row>
    <row r="323" spans="1:63" s="1117" customFormat="1" ht="12.75" hidden="1" customHeight="1" thickBot="1">
      <c r="A323" s="58"/>
      <c r="B323" s="790"/>
      <c r="C323" s="814" t="s">
        <v>196</v>
      </c>
      <c r="D323" s="512" t="str">
        <f>Translations!$B$724</f>
        <v>A. Trukmė</v>
      </c>
      <c r="E323" s="513"/>
      <c r="F323" s="645"/>
      <c r="G323" s="1532" t="str">
        <f t="shared" si="50"/>
        <v/>
      </c>
      <c r="H323" s="1556"/>
      <c r="I323" s="1626" t="str">
        <f>IF(W323=EUconst_NA,"",INDEX(PFCUnits,2))</f>
        <v>min.</v>
      </c>
      <c r="J323" s="1627"/>
      <c r="K323" s="679" t="str">
        <f t="shared" si="51"/>
        <v/>
      </c>
      <c r="L323" s="695"/>
      <c r="M323" s="709" t="str">
        <f>IF(AND(E315&lt;&gt;"",OR(F323="",L323=""),W323&lt;&gt;EUconst_NA),EUconst_ERR_Incomplete,IF(COUNTIF(AI323:AL323,TRUE)&gt;0,EUconst_ERR_Inconsistent,""))</f>
        <v/>
      </c>
      <c r="N323" s="495"/>
      <c r="O323" s="733"/>
      <c r="P323" s="33"/>
      <c r="Q323" s="30"/>
      <c r="R323" s="552" t="str">
        <f>R322</f>
        <v>ActivityData_</v>
      </c>
      <c r="S323" s="497"/>
      <c r="T323" s="658" t="str">
        <f t="shared" ref="T323:T328" si="55">T322</f>
        <v/>
      </c>
      <c r="U323" s="30"/>
      <c r="V323" s="497">
        <v>1</v>
      </c>
      <c r="W323" s="671" t="str">
        <f>IF(E315="","",IF(U315&lt;&gt;V323,EUconst_NA,INDEX(EUwideConstants!$N:$N,MATCH(R323,EUwideConstants!$Q:$Q,0))))</f>
        <v/>
      </c>
      <c r="X323" s="555" t="str">
        <f>IF(ISBLANK(F323),"",IF(F323=EUconst_NA,"",INDEX(EUwideConstants!$H:$M,MATCH(R323,EUwideConstants!$Q:$Q,0),MATCH(F323,CNTR_TierList,0))))</f>
        <v/>
      </c>
      <c r="Y323" s="30"/>
      <c r="Z323" s="30"/>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0"/>
      <c r="AI323" s="30"/>
      <c r="AJ323" s="30"/>
      <c r="AK323" s="660" t="b">
        <f t="shared" si="54"/>
        <v>0</v>
      </c>
      <c r="AL323" s="30"/>
      <c r="AM323" s="30"/>
      <c r="AN323" s="547" t="s">
        <v>446</v>
      </c>
      <c r="AO323" s="546" t="str">
        <f>IF(ISNUMBER(U315),AE320*AE322*AE323*AE324/1000,"")</f>
        <v/>
      </c>
      <c r="AP323" s="524"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60" t="b">
        <f>OR(BJ320,W323=EUconst_NA)</f>
        <v>1</v>
      </c>
      <c r="BK323" s="23"/>
    </row>
    <row r="324" spans="1:63" s="1117" customFormat="1" ht="12.75" hidden="1" customHeight="1" thickBot="1">
      <c r="A324" s="58"/>
      <c r="B324" s="790"/>
      <c r="C324" s="814" t="s">
        <v>197</v>
      </c>
      <c r="D324" s="652" t="str">
        <f>Translations!$B$726</f>
        <v>A. NITF(CF4)</v>
      </c>
      <c r="E324" s="653"/>
      <c r="F324" s="548"/>
      <c r="G324" s="1628" t="str">
        <f t="shared" si="50"/>
        <v/>
      </c>
      <c r="H324" s="1629"/>
      <c r="I324" s="1626" t="str">
        <f>IF(W324=EUconst_NA,"",INDEX(PFCUnits,3))</f>
        <v>(kg CF4/t Al)/(min./vienoje elektrolizės vonioje per parą)</v>
      </c>
      <c r="J324" s="1627"/>
      <c r="K324" s="680" t="str">
        <f t="shared" si="51"/>
        <v/>
      </c>
      <c r="L324" s="683"/>
      <c r="M324" s="711" t="str">
        <f>IF(AND(E315&lt;&gt;"",OR(F324="",COUNT(K324:L324)=0),W324&lt;&gt;EUconst_NA),EUconst_ERR_Incomplete,IF(COUNTIF(AI324:AL324,TRUE)&gt;0,EUconst_ERR_Inconsistent,""))</f>
        <v/>
      </c>
      <c r="N324" s="142"/>
      <c r="O324" s="733"/>
      <c r="P324" s="33"/>
      <c r="Q324" s="30"/>
      <c r="R324" s="552" t="str">
        <f>EUconst_CNTR_EF&amp;$E315</f>
        <v>EF_</v>
      </c>
      <c r="S324" s="497"/>
      <c r="T324" s="658" t="str">
        <f t="shared" si="55"/>
        <v/>
      </c>
      <c r="U324" s="30"/>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0"/>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0"/>
      <c r="AI324" s="30"/>
      <c r="AJ324" s="30"/>
      <c r="AK324" s="660" t="b">
        <f t="shared" si="54"/>
        <v>0</v>
      </c>
      <c r="AL324" s="30"/>
      <c r="AM324" s="30"/>
      <c r="AN324" s="547" t="s">
        <v>447</v>
      </c>
      <c r="AO324" s="546">
        <f>IF(AND(ISNUMBER(AO323),AO323&gt;0),AO323*AE328,0)</f>
        <v>0</v>
      </c>
      <c r="AP324" s="524">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60" t="b">
        <f>OR(BJ320,W324=EUconst_NA)</f>
        <v>1</v>
      </c>
      <c r="BK324" s="23"/>
    </row>
    <row r="325" spans="1:63" s="1117" customFormat="1" ht="12.75" hidden="1" customHeight="1" thickBot="1">
      <c r="A325" s="58"/>
      <c r="B325" s="790"/>
      <c r="C325" s="814" t="s">
        <v>198</v>
      </c>
      <c r="D325" s="650" t="str">
        <f>Translations!$B$728</f>
        <v>B. AEV</v>
      </c>
      <c r="E325" s="651"/>
      <c r="F325" s="645"/>
      <c r="G325" s="1622" t="str">
        <f t="shared" si="50"/>
        <v/>
      </c>
      <c r="H325" s="1623"/>
      <c r="I325" s="1626" t="str">
        <f>IF(W325=EUconst_NA,"",INDEX(PFCUnits,4))</f>
        <v>mV</v>
      </c>
      <c r="J325" s="1627"/>
      <c r="K325" s="679" t="str">
        <f t="shared" si="51"/>
        <v/>
      </c>
      <c r="L325" s="695"/>
      <c r="M325" s="712" t="str">
        <f>IF(AND(E315&lt;&gt;"",OR(F325="",L325=""),W325&lt;&gt;EUconst_NA),EUconst_ERR_Incomplete,IF(COUNTIF(AI325:AL325,TRUE)&gt;0,EUconst_ERR_Inconsistent,""))</f>
        <v/>
      </c>
      <c r="N325" s="142"/>
      <c r="O325" s="733"/>
      <c r="P325" s="644"/>
      <c r="Q325" s="30"/>
      <c r="R325" s="552" t="str">
        <f>R320</f>
        <v>ActivityData_</v>
      </c>
      <c r="S325" s="497"/>
      <c r="T325" s="658" t="str">
        <f t="shared" si="55"/>
        <v/>
      </c>
      <c r="U325" s="30"/>
      <c r="V325" s="497">
        <v>2</v>
      </c>
      <c r="W325" s="671" t="str">
        <f>IF(E315="","",IF(U315&lt;&gt;V325,EUconst_NA,INDEX(EUwideConstants!$N:$N,MATCH(R325,EUwideConstants!$Q:$Q,0))))</f>
        <v/>
      </c>
      <c r="X325" s="555" t="str">
        <f>IF(ISBLANK(F325),"",IF(F325=EUconst_NA,"",INDEX(EUwideConstants!$H:$M,MATCH(R325,EUwideConstants!$Q:$Q,0),MATCH(F325,CNTR_TierList,0))))</f>
        <v/>
      </c>
      <c r="Y325" s="30"/>
      <c r="Z325" s="30"/>
      <c r="AA325" s="557" t="b">
        <f>AND(AA320,W325&lt;&gt;EUconst_NA)</f>
        <v>0</v>
      </c>
      <c r="AB325" s="342"/>
      <c r="AC325" s="676"/>
      <c r="AD325" s="676" t="str">
        <f>""</f>
        <v/>
      </c>
      <c r="AE325" s="660">
        <f t="shared" si="52"/>
        <v>0</v>
      </c>
      <c r="AF325" s="660" t="b">
        <f>AND(AA325=TRUE,OR(ISNUMBER(L325),NOT(ISNUMBER(Y325))))</f>
        <v>0</v>
      </c>
      <c r="AG325" s="660" t="b">
        <f t="shared" si="53"/>
        <v>0</v>
      </c>
      <c r="AH325" s="30"/>
      <c r="AI325" s="30"/>
      <c r="AJ325" s="30"/>
      <c r="AK325" s="660" t="b">
        <f t="shared" si="54"/>
        <v>0</v>
      </c>
      <c r="AL325" s="30"/>
      <c r="AM325" s="30"/>
      <c r="AN325" s="547" t="s">
        <v>446</v>
      </c>
      <c r="AO325" s="546" t="str">
        <f>IF(ISNUMBER(AO323),AO323*AE333,"")</f>
        <v/>
      </c>
      <c r="AP325" s="524"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60" t="b">
        <f>OR(BJ320,W325=EUconst_NA)</f>
        <v>1</v>
      </c>
      <c r="BK325" s="23"/>
    </row>
    <row r="326" spans="1:63" s="1117" customFormat="1" ht="12.75" hidden="1" customHeight="1" thickBot="1">
      <c r="A326" s="58"/>
      <c r="B326" s="790"/>
      <c r="C326" s="777" t="s">
        <v>199</v>
      </c>
      <c r="D326" s="512" t="str">
        <f>Translations!$B$730</f>
        <v>B. EN</v>
      </c>
      <c r="E326" s="513"/>
      <c r="F326" s="548"/>
      <c r="G326" s="1532" t="str">
        <f t="shared" si="50"/>
        <v/>
      </c>
      <c r="H326" s="1533"/>
      <c r="I326" s="1626" t="str">
        <f>IF(W326=EUconst_NA,"","-")</f>
        <v>-</v>
      </c>
      <c r="J326" s="1627"/>
      <c r="K326" s="681" t="str">
        <f t="shared" si="51"/>
        <v/>
      </c>
      <c r="L326" s="571"/>
      <c r="M326" s="709" t="str">
        <f>IF(AND(E315&lt;&gt;"",OR(F326="",L326=""),W326&lt;&gt;EUconst_NA),EUconst_ERR_Incomplete,IF(COUNTIF(AI326:AL326,TRUE)&gt;0,EUconst_ERR_Inconsistent,""))</f>
        <v/>
      </c>
      <c r="N326" s="142"/>
      <c r="O326" s="733"/>
      <c r="P326" s="644"/>
      <c r="Q326" s="30"/>
      <c r="R326" s="552" t="str">
        <f>R325</f>
        <v>ActivityData_</v>
      </c>
      <c r="S326" s="497"/>
      <c r="T326" s="658" t="str">
        <f t="shared" si="55"/>
        <v/>
      </c>
      <c r="U326" s="30"/>
      <c r="V326" s="497">
        <v>2</v>
      </c>
      <c r="W326" s="671" t="str">
        <f>IF(E315="","",IF(U315&lt;&gt;V326,EUconst_NA,INDEX(EUwideConstants!$N:$N,MATCH(R326,EUwideConstants!$Q:$Q,0))))</f>
        <v/>
      </c>
      <c r="X326" s="555" t="str">
        <f>IF(ISBLANK(F326),"",IF(F326=EUconst_NA,"",INDEX(EUwideConstants!$H:$M,MATCH(R326,EUwideConstants!$Q:$Q,0),MATCH(F326,CNTR_TierList,0))))</f>
        <v/>
      </c>
      <c r="Y326" s="30"/>
      <c r="Z326" s="30"/>
      <c r="AA326" s="557" t="b">
        <f>AND(AA320,W326&lt;&gt;EUconst_NA)</f>
        <v>0</v>
      </c>
      <c r="AB326" s="342"/>
      <c r="AC326" s="676"/>
      <c r="AD326" s="676" t="str">
        <f>""</f>
        <v/>
      </c>
      <c r="AE326" s="660">
        <f t="shared" si="52"/>
        <v>0</v>
      </c>
      <c r="AF326" s="660" t="b">
        <f>AND(AA326=TRUE,OR(ISNUMBER(L326),NOT(ISNUMBER(Y326))))</f>
        <v>0</v>
      </c>
      <c r="AG326" s="660" t="b">
        <f t="shared" si="53"/>
        <v>0</v>
      </c>
      <c r="AH326" s="30"/>
      <c r="AI326" s="30"/>
      <c r="AJ326" s="30"/>
      <c r="AK326" s="708" t="b">
        <f t="shared" si="54"/>
        <v>0</v>
      </c>
      <c r="AL326" s="524" t="b">
        <f>L326&gt;100%</f>
        <v>0</v>
      </c>
      <c r="AM326" s="30"/>
      <c r="AN326" s="547" t="s">
        <v>447</v>
      </c>
      <c r="AO326" s="546">
        <f>IF(ISNUMBER(AO324),AO324*AE334,"")</f>
        <v>0</v>
      </c>
      <c r="AP326" s="524">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60" t="b">
        <f>OR(BJ320,W326=EUconst_NA)</f>
        <v>1</v>
      </c>
      <c r="BK326" s="23"/>
    </row>
    <row r="327" spans="1:63" s="1117" customFormat="1" ht="12.75" hidden="1" customHeight="1" thickBot="1">
      <c r="A327" s="58"/>
      <c r="B327" s="790"/>
      <c r="C327" s="814" t="s">
        <v>200</v>
      </c>
      <c r="D327" s="652" t="str">
        <f>Translations!$B$732</f>
        <v>B. VĮK</v>
      </c>
      <c r="E327" s="653"/>
      <c r="F327" s="548"/>
      <c r="G327" s="1628" t="str">
        <f t="shared" si="50"/>
        <v/>
      </c>
      <c r="H327" s="1629"/>
      <c r="I327" s="1626" t="str">
        <f>IF(W327=EUconst_NA,"",INDEX(PFCUnits,6))</f>
        <v>(kg CF4)/(t Al mV)</v>
      </c>
      <c r="J327" s="1627"/>
      <c r="K327" s="681" t="str">
        <f t="shared" si="51"/>
        <v/>
      </c>
      <c r="L327" s="684"/>
      <c r="M327" s="711" t="str">
        <f>IF(AND(E315&lt;&gt;"",OR(F327="",COUNT(K327:L327)=0),W327&lt;&gt;EUconst_NA),EUconst_ERR_Incomplete,IF(COUNTIF(AI327:AL327,TRUE)&gt;0,EUconst_ERR_Inconsistent,""))</f>
        <v/>
      </c>
      <c r="N327" s="142"/>
      <c r="O327" s="733"/>
      <c r="P327" s="33"/>
      <c r="Q327" s="30"/>
      <c r="R327" s="552" t="str">
        <f>EUconst_CNTR_EF&amp;E315</f>
        <v>EF_</v>
      </c>
      <c r="S327" s="497"/>
      <c r="T327" s="658" t="str">
        <f t="shared" si="55"/>
        <v/>
      </c>
      <c r="U327" s="30"/>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0"/>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0"/>
      <c r="AI327" s="30"/>
      <c r="AJ327" s="30"/>
      <c r="AK327" s="660"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60" t="b">
        <f>OR(BJ320,W327=EUconst_NA)</f>
        <v>1</v>
      </c>
      <c r="BK327" s="23"/>
    </row>
    <row r="328" spans="1:63" s="1117" customFormat="1" ht="12.75" hidden="1" customHeight="1" thickBot="1">
      <c r="A328" s="58"/>
      <c r="B328" s="790"/>
      <c r="C328" s="814" t="s">
        <v>329</v>
      </c>
      <c r="D328" s="650" t="str">
        <f>Translations!$B$734</f>
        <v>F(C2F6)</v>
      </c>
      <c r="E328" s="651"/>
      <c r="F328" s="597"/>
      <c r="G328" s="1622" t="str">
        <f t="shared" si="50"/>
        <v/>
      </c>
      <c r="H328" s="1623"/>
      <c r="I328" s="1617" t="str">
        <f>IF(W328=EUconst_NA,"",INDEX(PFCUnits,7))</f>
        <v>t C2F6/t CF4</v>
      </c>
      <c r="J328" s="1618"/>
      <c r="K328" s="682" t="str">
        <f t="shared" si="51"/>
        <v/>
      </c>
      <c r="L328" s="685"/>
      <c r="M328" s="712" t="str">
        <f>IF(AND(E315&lt;&gt;"",OR(F328="",COUNT(K328:L328)=0),W328&lt;&gt;EUconst_NA),EUconst_ERR_Incomplete,IF(COUNTIF(AI328:AL328,TRUE)&gt;0,EUconst_ERR_Inconsistent,""))</f>
        <v/>
      </c>
      <c r="N328" s="142"/>
      <c r="O328" s="733"/>
      <c r="P328" s="33"/>
      <c r="Q328" s="30"/>
      <c r="R328" s="599" t="str">
        <f>EUconst_CNTR_EF&amp;E315</f>
        <v>EF_</v>
      </c>
      <c r="S328" s="497"/>
      <c r="T328" s="659" t="str">
        <f t="shared" si="55"/>
        <v/>
      </c>
      <c r="U328" s="30"/>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0"/>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0"/>
      <c r="AI328" s="30"/>
      <c r="AJ328" s="30"/>
      <c r="AK328" s="582"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2" t="b">
        <f>OR(BJ320,W328=EUconst_NA)</f>
        <v>1</v>
      </c>
      <c r="BK328" s="23"/>
    </row>
    <row r="329" spans="1:63" s="1117" customFormat="1" ht="5.0999999999999996" hidden="1" customHeight="1">
      <c r="A329" s="58"/>
      <c r="B329" s="790"/>
      <c r="C329" s="166"/>
      <c r="D329" s="180"/>
      <c r="E329" s="142"/>
      <c r="F329" s="142"/>
      <c r="G329" s="142"/>
      <c r="H329" s="142"/>
      <c r="I329" s="142"/>
      <c r="J329" s="142"/>
      <c r="K329" s="142"/>
      <c r="L329" s="142"/>
      <c r="M329" s="704"/>
      <c r="N329" s="142"/>
      <c r="O329" s="733"/>
      <c r="P329" s="33"/>
      <c r="Q329" s="174"/>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7" customFormat="1" ht="12.75" hidden="1" customHeight="1">
      <c r="A330" s="58"/>
      <c r="B330" s="790"/>
      <c r="C330" s="777" t="s">
        <v>330</v>
      </c>
      <c r="D330" s="646" t="str">
        <f>Translations!$B$748</f>
        <v>Išmestas CF4 kiekis</v>
      </c>
      <c r="E330" s="647"/>
      <c r="F330" s="513"/>
      <c r="G330" s="513"/>
      <c r="H330" s="513"/>
      <c r="I330" s="1624" t="str">
        <f>EUconst_t</f>
        <v>t</v>
      </c>
      <c r="J330" s="1625"/>
      <c r="K330" s="513"/>
      <c r="L330" s="955" t="str">
        <f>IF(ISNUMBER(U315),INDEX(AO323:AP323,U315),"")</f>
        <v/>
      </c>
      <c r="M330" s="704"/>
      <c r="N330" s="142"/>
      <c r="O330" s="733"/>
      <c r="P330" s="33"/>
      <c r="Q330" s="174"/>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7" customFormat="1" ht="12.75" hidden="1" customHeight="1" thickBot="1">
      <c r="A331" s="58"/>
      <c r="B331" s="790"/>
      <c r="C331" s="777" t="s">
        <v>454</v>
      </c>
      <c r="D331" s="646" t="str">
        <f>Translations!$B$749</f>
        <v>Išmestas C2F6 kiekis</v>
      </c>
      <c r="E331" s="513"/>
      <c r="F331" s="513"/>
      <c r="G331" s="513"/>
      <c r="H331" s="513"/>
      <c r="I331" s="1617" t="str">
        <f>EUconst_t</f>
        <v>t</v>
      </c>
      <c r="J331" s="1618"/>
      <c r="K331" s="513"/>
      <c r="L331" s="956" t="str">
        <f>IF(ISNUMBER(U315),INDEX(AO324:AP324,U315),"")</f>
        <v/>
      </c>
      <c r="M331" s="704"/>
      <c r="N331" s="142"/>
      <c r="O331" s="733"/>
      <c r="P331" s="33"/>
      <c r="Q331" s="174"/>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7" customFormat="1" ht="5.0999999999999996" hidden="1" customHeight="1">
      <c r="A332" s="58"/>
      <c r="B332" s="790"/>
      <c r="C332" s="779"/>
      <c r="D332" s="180"/>
      <c r="E332" s="142"/>
      <c r="F332" s="142"/>
      <c r="G332" s="142"/>
      <c r="H332" s="142"/>
      <c r="I332" s="142"/>
      <c r="J332" s="142"/>
      <c r="K332" s="142"/>
      <c r="L332" s="142"/>
      <c r="M332" s="704"/>
      <c r="N332" s="142"/>
      <c r="O332" s="733"/>
      <c r="P332" s="33"/>
      <c r="Q332" s="174"/>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7" customFormat="1" ht="12.75" hidden="1" customHeight="1">
      <c r="A333" s="58"/>
      <c r="B333" s="790"/>
      <c r="C333" s="777" t="s">
        <v>455</v>
      </c>
      <c r="D333" s="646" t="str">
        <f>Translations!$B$736</f>
        <v>VAP(CF4)</v>
      </c>
      <c r="E333" s="647"/>
      <c r="F333" s="513"/>
      <c r="G333" s="513"/>
      <c r="H333" s="513"/>
      <c r="I333" s="1624" t="s">
        <v>444</v>
      </c>
      <c r="J333" s="1625"/>
      <c r="K333" s="648">
        <f>IF(L333="",7390,"")</f>
        <v>7390</v>
      </c>
      <c r="L333" s="968"/>
      <c r="M333" s="704"/>
      <c r="N333" s="142"/>
      <c r="O333" s="733"/>
      <c r="P333" s="644"/>
      <c r="Q333" s="174"/>
      <c r="R333" s="30"/>
      <c r="S333" s="30"/>
      <c r="T333" s="30"/>
      <c r="U333" s="30"/>
      <c r="V333" s="30"/>
      <c r="W333" s="30"/>
      <c r="X333" s="30"/>
      <c r="Y333" s="30"/>
      <c r="Z333" s="30"/>
      <c r="AA333" s="30"/>
      <c r="AB333" s="30"/>
      <c r="AC333" s="30"/>
      <c r="AD333" s="30"/>
      <c r="AE333" s="535">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1" t="b">
        <f>BJ320</f>
        <v>1</v>
      </c>
      <c r="BK333" s="23"/>
    </row>
    <row r="334" spans="1:63" s="1117" customFormat="1" ht="12.75" hidden="1" customHeight="1" thickBot="1">
      <c r="A334" s="58"/>
      <c r="B334" s="790"/>
      <c r="C334" s="777" t="s">
        <v>456</v>
      </c>
      <c r="D334" s="646" t="str">
        <f>Translations!$B$738</f>
        <v>VAP(C2F6)</v>
      </c>
      <c r="E334" s="647"/>
      <c r="F334" s="513"/>
      <c r="G334" s="513"/>
      <c r="H334" s="513"/>
      <c r="I334" s="1617" t="s">
        <v>445</v>
      </c>
      <c r="J334" s="1618"/>
      <c r="K334" s="649">
        <f>IF(L334="",12200,"")</f>
        <v>12200</v>
      </c>
      <c r="L334" s="969"/>
      <c r="M334" s="704"/>
      <c r="N334" s="142"/>
      <c r="O334" s="733"/>
      <c r="P334" s="33"/>
      <c r="Q334" s="174"/>
      <c r="R334" s="30"/>
      <c r="S334" s="30"/>
      <c r="T334" s="30"/>
      <c r="U334" s="30"/>
      <c r="V334" s="30"/>
      <c r="W334" s="30"/>
      <c r="X334" s="30"/>
      <c r="Y334" s="30"/>
      <c r="Z334" s="30"/>
      <c r="AA334" s="30"/>
      <c r="AB334" s="30"/>
      <c r="AC334" s="30"/>
      <c r="AD334" s="30"/>
      <c r="AE334" s="674">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80" t="b">
        <f>BJ333</f>
        <v>1</v>
      </c>
      <c r="BK334" s="23"/>
    </row>
    <row r="335" spans="1:63" s="1117" customFormat="1" ht="5.0999999999999996" hidden="1" customHeight="1">
      <c r="A335" s="58"/>
      <c r="B335" s="790"/>
      <c r="C335" s="779"/>
      <c r="D335" s="306"/>
      <c r="E335" s="495"/>
      <c r="F335" s="142"/>
      <c r="G335" s="142"/>
      <c r="H335" s="142"/>
      <c r="I335" s="142"/>
      <c r="J335" s="142"/>
      <c r="K335" s="142"/>
      <c r="L335" s="704"/>
      <c r="M335" s="704"/>
      <c r="N335" s="142"/>
      <c r="O335" s="733"/>
      <c r="P335" s="33"/>
      <c r="Q335" s="174"/>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7" customFormat="1" ht="12.75" hidden="1" customHeight="1">
      <c r="A336" s="58"/>
      <c r="B336" s="790"/>
      <c r="C336" s="777" t="s">
        <v>457</v>
      </c>
      <c r="D336" s="646" t="str">
        <f>Translations!$B$748</f>
        <v>Išmestas CF4 kiekis</v>
      </c>
      <c r="E336" s="647"/>
      <c r="F336" s="513"/>
      <c r="G336" s="513"/>
      <c r="H336" s="513"/>
      <c r="I336" s="1624" t="s">
        <v>260</v>
      </c>
      <c r="J336" s="1625"/>
      <c r="K336" s="513"/>
      <c r="L336" s="705" t="str">
        <f>IF(ISNUMBER(U315),INDEX(AO325:AP325,U315),"")</f>
        <v/>
      </c>
      <c r="M336" s="704"/>
      <c r="N336" s="142"/>
      <c r="O336" s="733"/>
      <c r="P336" s="644"/>
      <c r="Q336" s="174"/>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7" customFormat="1" ht="12.75" hidden="1" customHeight="1" thickBot="1">
      <c r="A337" s="58"/>
      <c r="B337" s="790"/>
      <c r="C337" s="777" t="s">
        <v>458</v>
      </c>
      <c r="D337" s="646" t="str">
        <f>Translations!$B$749</f>
        <v>Išmestas C2F6 kiekis</v>
      </c>
      <c r="E337" s="513"/>
      <c r="F337" s="513"/>
      <c r="G337" s="513"/>
      <c r="H337" s="513"/>
      <c r="I337" s="1617" t="s">
        <v>260</v>
      </c>
      <c r="J337" s="1618"/>
      <c r="K337" s="513"/>
      <c r="L337" s="706" t="str">
        <f>IF(ISNUMBER(U315),INDEX(AO326:AP326,U315),"")</f>
        <v/>
      </c>
      <c r="M337" s="704"/>
      <c r="N337" s="142"/>
      <c r="O337" s="733"/>
      <c r="P337" s="33"/>
      <c r="Q337" s="174"/>
      <c r="R337" s="30"/>
      <c r="S337" s="30"/>
      <c r="T337" s="30"/>
      <c r="U337" s="30"/>
      <c r="V337" s="30"/>
      <c r="W337" s="30"/>
      <c r="X337" s="30"/>
      <c r="Y337" s="30"/>
      <c r="Z337" s="30"/>
      <c r="AA337" s="30"/>
      <c r="AB337" s="30"/>
      <c r="AC337" s="30"/>
      <c r="AD337" s="30"/>
      <c r="AE337" s="492"/>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7" customFormat="1" ht="5.0999999999999996" hidden="1" customHeight="1">
      <c r="A338" s="58"/>
      <c r="B338" s="790"/>
      <c r="C338" s="779"/>
      <c r="D338" s="180"/>
      <c r="E338" s="142"/>
      <c r="F338" s="142"/>
      <c r="G338" s="142"/>
      <c r="H338" s="142"/>
      <c r="I338" s="142"/>
      <c r="J338" s="142"/>
      <c r="K338" s="142"/>
      <c r="L338" s="142"/>
      <c r="M338" s="704"/>
      <c r="N338" s="142"/>
      <c r="O338" s="733"/>
      <c r="P338" s="33"/>
      <c r="Q338" s="174"/>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7" customFormat="1" ht="12.75" hidden="1" customHeight="1" thickBot="1">
      <c r="A339" s="58"/>
      <c r="B339" s="790"/>
      <c r="C339" s="777" t="s">
        <v>459</v>
      </c>
      <c r="D339" s="646" t="str">
        <f>Translations!$B$167</f>
        <v>Surinkimo efektyvumas</v>
      </c>
      <c r="E339" s="513"/>
      <c r="F339" s="513"/>
      <c r="G339" s="513"/>
      <c r="H339" s="513"/>
      <c r="I339" s="1619" t="s">
        <v>261</v>
      </c>
      <c r="J339" s="1620"/>
      <c r="K339" s="513"/>
      <c r="L339" s="970"/>
      <c r="M339" s="709" t="str">
        <f>IF(AND(E315&lt;&gt;"",L339=""),EUconst_ERR_Incomplete,IF(COUNTIF(AI339:AL339,TRUE)&gt;0,EUconst_ERR_Inconsistent,""))</f>
        <v/>
      </c>
      <c r="N339" s="142"/>
      <c r="O339" s="733"/>
      <c r="P339" s="644"/>
      <c r="Q339" s="174"/>
      <c r="R339" s="30"/>
      <c r="S339" s="30"/>
      <c r="T339" s="30"/>
      <c r="U339" s="30"/>
      <c r="V339" s="30"/>
      <c r="W339" s="30"/>
      <c r="X339" s="30"/>
      <c r="Y339" s="30"/>
      <c r="Z339" s="30"/>
      <c r="AA339" s="30"/>
      <c r="AB339" s="30"/>
      <c r="AC339" s="30"/>
      <c r="AD339" s="30"/>
      <c r="AE339" s="30"/>
      <c r="AF339" s="30"/>
      <c r="AG339" s="30"/>
      <c r="AH339" s="30"/>
      <c r="AI339" s="30"/>
      <c r="AJ339" s="30"/>
      <c r="AK339" s="30"/>
      <c r="AL339" s="524"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4" t="b">
        <f>BJ320</f>
        <v>1</v>
      </c>
      <c r="BK339" s="23"/>
    </row>
    <row r="340" spans="1:63" s="1117" customFormat="1" ht="5.0999999999999996" hidden="1" customHeight="1">
      <c r="A340" s="58"/>
      <c r="B340" s="790"/>
      <c r="C340" s="166"/>
      <c r="D340" s="180"/>
      <c r="E340" s="142"/>
      <c r="F340" s="142"/>
      <c r="G340" s="142"/>
      <c r="H340" s="142"/>
      <c r="I340" s="142"/>
      <c r="J340" s="142"/>
      <c r="K340" s="142"/>
      <c r="L340" s="142"/>
      <c r="M340" s="142"/>
      <c r="N340" s="142"/>
      <c r="O340" s="733"/>
      <c r="P340" s="33"/>
      <c r="Q340" s="174"/>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7" customFormat="1" ht="12.75" hidden="1" customHeight="1" thickBot="1">
      <c r="A341" s="58"/>
      <c r="B341" s="790"/>
      <c r="C341" s="166"/>
      <c r="D341" s="1558" t="str">
        <f>Translations!$B$674</f>
        <v>Pakopos galioja nuo:</v>
      </c>
      <c r="E341" s="1558"/>
      <c r="F341" s="1559"/>
      <c r="G341" s="616"/>
      <c r="H341" s="615" t="str">
        <f>Translations!$B$675</f>
        <v>iki:</v>
      </c>
      <c r="I341" s="616"/>
      <c r="J341" s="142"/>
      <c r="K341" s="142"/>
      <c r="L341" s="142"/>
      <c r="M341" s="142"/>
      <c r="N341" s="142"/>
      <c r="O341" s="733"/>
      <c r="P341" s="33"/>
      <c r="Q341" s="174"/>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4" t="b">
        <f>BJ320</f>
        <v>1</v>
      </c>
      <c r="BK341" s="23"/>
    </row>
    <row r="342" spans="1:63" s="1117" customFormat="1" ht="5.0999999999999996" hidden="1" customHeight="1">
      <c r="A342" s="30"/>
      <c r="B342" s="572"/>
      <c r="C342" s="142"/>
      <c r="D342" s="180"/>
      <c r="E342" s="142"/>
      <c r="F342" s="142"/>
      <c r="G342" s="142"/>
      <c r="H342" s="142"/>
      <c r="I342" s="142"/>
      <c r="J342" s="142"/>
      <c r="K342" s="142"/>
      <c r="L342" s="142"/>
      <c r="M342" s="142"/>
      <c r="N342" s="142"/>
      <c r="O342" s="573"/>
      <c r="P342" s="497"/>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7" customFormat="1" ht="12.75" hidden="1" customHeight="1" thickBot="1">
      <c r="A343" s="30"/>
      <c r="B343" s="572"/>
      <c r="C343" s="142"/>
      <c r="D343" s="1534" t="str">
        <f>Translations!$B$160</f>
        <v>Pastabos:</v>
      </c>
      <c r="E343" s="1535"/>
      <c r="F343" s="1621"/>
      <c r="G343" s="1621"/>
      <c r="H343" s="1621"/>
      <c r="I343" s="1621"/>
      <c r="J343" s="1621"/>
      <c r="K343" s="1621"/>
      <c r="L343" s="1621"/>
      <c r="M343" s="1621"/>
      <c r="N343" s="1621"/>
      <c r="O343" s="573"/>
      <c r="P343" s="497"/>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4" t="b">
        <f>BJ341</f>
        <v>1</v>
      </c>
      <c r="BK343" s="23"/>
    </row>
    <row r="344" spans="1:63" s="1114" customFormat="1" ht="12.75" hidden="1" customHeight="1" thickBot="1">
      <c r="A344" s="58"/>
      <c r="B344" s="838"/>
      <c r="C344" s="499"/>
      <c r="D344" s="500"/>
      <c r="E344" s="501"/>
      <c r="F344" s="499"/>
      <c r="G344" s="502"/>
      <c r="H344" s="502"/>
      <c r="I344" s="502"/>
      <c r="J344" s="502"/>
      <c r="K344" s="502"/>
      <c r="L344" s="502"/>
      <c r="M344" s="502"/>
      <c r="N344" s="502"/>
      <c r="O344" s="740"/>
      <c r="P344" s="494"/>
      <c r="Q344" s="58"/>
      <c r="R344" s="58"/>
      <c r="S344" s="498"/>
      <c r="T344" s="58"/>
      <c r="U344" s="58"/>
      <c r="V344" s="49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4" customFormat="1" ht="12.75" hidden="1" customHeight="1">
      <c r="A345" s="491"/>
      <c r="B345" s="838"/>
      <c r="C345" s="495"/>
      <c r="D345" s="180"/>
      <c r="E345" s="496"/>
      <c r="F345" s="495"/>
      <c r="G345" s="487"/>
      <c r="H345" s="487"/>
      <c r="I345" s="487"/>
      <c r="J345" s="487"/>
      <c r="K345" s="495"/>
      <c r="L345" s="487"/>
      <c r="M345" s="487"/>
      <c r="N345" s="487"/>
      <c r="O345" s="740"/>
      <c r="P345" s="494"/>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7" customFormat="1" ht="15" hidden="1" customHeight="1" thickBot="1">
      <c r="A346" s="58"/>
      <c r="B346" s="790"/>
      <c r="C346" s="617">
        <f>C314+1</f>
        <v>10</v>
      </c>
      <c r="D346" s="343"/>
      <c r="E346" s="1542"/>
      <c r="F346" s="1543"/>
      <c r="G346" s="1543"/>
      <c r="H346" s="1543"/>
      <c r="I346" s="1543"/>
      <c r="J346" s="1544"/>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7" t="str">
        <f>IF(ISBLANK(E346),"",MATCH(E346,CNTR_SourceStreamNames,0))</f>
        <v/>
      </c>
      <c r="S346" s="618" t="str">
        <f>IF(ISBLANK(E346),"",INDEX(B_InstallationDescription!$D$71:$D$145,MATCH(E346,CNTR_SourceStreamNames,0)))</f>
        <v/>
      </c>
      <c r="T346" s="509" t="s">
        <v>393</v>
      </c>
      <c r="U346" s="686" t="s">
        <v>67</v>
      </c>
      <c r="V346" s="58"/>
      <c r="W346" s="58"/>
      <c r="X346" s="58"/>
      <c r="Y346" s="58"/>
      <c r="Z346" s="58"/>
      <c r="AA346" s="58"/>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3"/>
    </row>
    <row r="347" spans="1:63" s="1117" customFormat="1" ht="15" hidden="1" customHeight="1" thickBot="1">
      <c r="A347" s="58"/>
      <c r="B347" s="790"/>
      <c r="C347" s="166"/>
      <c r="D347" s="166"/>
      <c r="E347" s="1547" t="str">
        <f>IF(E346="","",IF(INDEX(B_InstallationDescription!$E$71:$E$145,MATCH(S346,B_InstallationDescription!$D$71:$D$145,0))&gt;0,INDEX(B_InstallationDescription!$E$71:$E$145,MATCH(S346,B_InstallationDescription!$D$71:$D$145,0)),""))</f>
        <v/>
      </c>
      <c r="F347" s="1548"/>
      <c r="G347" s="1548"/>
      <c r="H347" s="1548"/>
      <c r="I347" s="1548"/>
      <c r="J347" s="1549"/>
      <c r="K347" s="142"/>
      <c r="L347" s="142"/>
      <c r="M347" s="143"/>
      <c r="N347" s="143"/>
      <c r="O347" s="733"/>
      <c r="P347" s="494"/>
      <c r="Q347" s="30"/>
      <c r="R347" s="27" t="s">
        <v>93</v>
      </c>
      <c r="S347" s="30"/>
      <c r="T347" s="578" t="b">
        <v>1</v>
      </c>
      <c r="U347" s="518" t="str">
        <f>IF(E347="","",INDEX(CNTR_PFCMethod,MATCH(E346,CNTR_PFCSourceStreamNames,0)))</f>
        <v/>
      </c>
      <c r="V347" s="30"/>
      <c r="W347" s="494"/>
      <c r="X347" s="30"/>
      <c r="Y347" s="30"/>
      <c r="Z347" s="30"/>
      <c r="AA347" s="30"/>
      <c r="AB347" s="342"/>
      <c r="AC347" s="27" t="s">
        <v>308</v>
      </c>
      <c r="AD347" s="30"/>
      <c r="AE347" s="30"/>
      <c r="AF347" s="30"/>
      <c r="AG347" s="30"/>
      <c r="AH347" s="30"/>
      <c r="AI347" s="27" t="s">
        <v>315</v>
      </c>
      <c r="AJ347" s="30"/>
      <c r="AK347" s="30"/>
      <c r="AL347" s="30"/>
      <c r="AM347" s="30"/>
      <c r="AN347" s="27" t="s">
        <v>219</v>
      </c>
      <c r="AO347" s="30"/>
      <c r="AP347" s="30"/>
      <c r="AQ347" s="30"/>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0"/>
      <c r="BJ347" s="30"/>
      <c r="BK347" s="23"/>
    </row>
    <row r="348" spans="1:63" s="1117" customFormat="1" ht="5.0999999999999996" hidden="1" customHeight="1">
      <c r="A348" s="58"/>
      <c r="B348" s="790"/>
      <c r="C348" s="166"/>
      <c r="D348" s="166"/>
      <c r="E348" s="166"/>
      <c r="F348" s="166"/>
      <c r="G348" s="166"/>
      <c r="H348" s="142"/>
      <c r="I348" s="142"/>
      <c r="J348" s="142"/>
      <c r="K348" s="142"/>
      <c r="L348" s="142"/>
      <c r="M348" s="143"/>
      <c r="N348" s="143"/>
      <c r="O348" s="733"/>
      <c r="P348" s="33"/>
      <c r="Q348" s="30"/>
      <c r="R348" s="489"/>
      <c r="S348" s="30"/>
      <c r="T348" s="30"/>
      <c r="U348" s="30"/>
      <c r="V348" s="30"/>
      <c r="W348" s="494"/>
      <c r="X348" s="30"/>
      <c r="Y348" s="30"/>
      <c r="Z348" s="30"/>
      <c r="AA348" s="30"/>
      <c r="AB348" s="342"/>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7" customFormat="1" ht="12.75" hidden="1" customHeight="1">
      <c r="A349" s="58"/>
      <c r="B349" s="790"/>
      <c r="C349" s="166"/>
      <c r="D349" s="166"/>
      <c r="E349" s="1550" t="str">
        <f>IF(E346="","",HYPERLINK("#JUMP_14",EUconst_FurtherGuidancePoint1))</f>
        <v/>
      </c>
      <c r="F349" s="1550"/>
      <c r="G349" s="1550"/>
      <c r="H349" s="1550"/>
      <c r="I349" s="1550"/>
      <c r="J349" s="1550"/>
      <c r="K349" s="1550"/>
      <c r="L349" s="1550"/>
      <c r="M349" s="143"/>
      <c r="N349" s="143"/>
      <c r="O349" s="733"/>
      <c r="P349" s="33"/>
      <c r="Q349" s="30"/>
      <c r="R349" s="489"/>
      <c r="S349" s="30"/>
      <c r="T349" s="30"/>
      <c r="U349" s="30"/>
      <c r="V349" s="30"/>
      <c r="W349" s="494"/>
      <c r="X349" s="30"/>
      <c r="Y349" s="30"/>
      <c r="Z349" s="30"/>
      <c r="AA349" s="30"/>
      <c r="AB349" s="342"/>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7" customFormat="1" ht="5.0999999999999996" hidden="1" customHeight="1">
      <c r="A350" s="58"/>
      <c r="B350" s="790"/>
      <c r="C350" s="166"/>
      <c r="D350" s="166"/>
      <c r="E350" s="166"/>
      <c r="F350" s="166"/>
      <c r="G350" s="166"/>
      <c r="H350" s="142"/>
      <c r="I350" s="142"/>
      <c r="J350" s="142"/>
      <c r="K350" s="142"/>
      <c r="L350" s="142"/>
      <c r="M350" s="143"/>
      <c r="N350" s="143"/>
      <c r="O350" s="733"/>
      <c r="P350" s="33"/>
      <c r="Q350" s="30"/>
      <c r="R350" s="489"/>
      <c r="S350" s="30"/>
      <c r="T350" s="30"/>
      <c r="U350" s="30"/>
      <c r="V350" s="30"/>
      <c r="W350" s="494"/>
      <c r="X350" s="30"/>
      <c r="Y350" s="30"/>
      <c r="Z350" s="30"/>
      <c r="AA350" s="30"/>
      <c r="AB350" s="342"/>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7" customFormat="1" ht="12.75" hidden="1" customHeight="1" thickBot="1">
      <c r="A351" s="58"/>
      <c r="B351" s="790"/>
      <c r="C351" s="166"/>
      <c r="D351" s="166"/>
      <c r="E351" s="166"/>
      <c r="F351" s="506" t="str">
        <f>Translations!$B$333</f>
        <v>Pakopa</v>
      </c>
      <c r="G351" s="1557" t="str">
        <f>Translations!$B$672</f>
        <v>pakopos aprašas</v>
      </c>
      <c r="H351" s="1557"/>
      <c r="I351" s="1555" t="str">
        <f>Translations!$B$158</f>
        <v>Vienetas</v>
      </c>
      <c r="J351" s="1555"/>
      <c r="K351" s="1555" t="str">
        <f>Translations!$B$673</f>
        <v>Vertė</v>
      </c>
      <c r="L351" s="1555"/>
      <c r="M351" s="507" t="str">
        <f>Translations!$B$610</f>
        <v>klaida</v>
      </c>
      <c r="N351" s="142"/>
      <c r="O351" s="733"/>
      <c r="P351" s="508"/>
      <c r="Q351" s="30"/>
      <c r="R351" s="489"/>
      <c r="S351" s="30"/>
      <c r="T351" s="509" t="s">
        <v>303</v>
      </c>
      <c r="U351" s="30"/>
      <c r="V351" s="30"/>
      <c r="W351" s="494" t="s">
        <v>566</v>
      </c>
      <c r="X351" s="494" t="s">
        <v>318</v>
      </c>
      <c r="Y351" s="30"/>
      <c r="Z351" s="30"/>
      <c r="AA351" s="505" t="s">
        <v>309</v>
      </c>
      <c r="AB351" s="342"/>
      <c r="AC351" s="492" t="s">
        <v>306</v>
      </c>
      <c r="AD351" s="504" t="s">
        <v>569</v>
      </c>
      <c r="AE351" s="504" t="s">
        <v>568</v>
      </c>
      <c r="AF351" s="510"/>
      <c r="AG351" s="510"/>
      <c r="AH351" s="30"/>
      <c r="AI351" s="492"/>
      <c r="AJ351" s="492"/>
      <c r="AK351" s="492"/>
      <c r="AL351" s="492"/>
      <c r="AM351" s="492"/>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3" t="s">
        <v>262</v>
      </c>
      <c r="BK351" s="23"/>
    </row>
    <row r="352" spans="1:63" s="1117" customFormat="1" ht="12.75" hidden="1" customHeight="1" thickBot="1">
      <c r="A352" s="58"/>
      <c r="B352" s="790"/>
      <c r="C352" s="814" t="s">
        <v>4</v>
      </c>
      <c r="D352" s="512" t="str">
        <f>Translations!$B$622</f>
        <v>VD:</v>
      </c>
      <c r="E352" s="513"/>
      <c r="F352" s="402"/>
      <c r="G352" s="1532" t="str">
        <f>IF(OR(ISBLANK(F352),F352=EUconst_NoTier),"",IF(X352=0,EUconst_NA,IF(ISERROR(X352),"",X352)))</f>
        <v/>
      </c>
      <c r="H352" s="1533"/>
      <c r="I352" s="1619" t="str">
        <f>EUconst_t</f>
        <v>t</v>
      </c>
      <c r="J352" s="1620"/>
      <c r="K352" s="1630"/>
      <c r="L352" s="1631"/>
      <c r="M352" s="709" t="str">
        <f>IF(AND(E347&lt;&gt;"",OR(F352="",K352=""),W352&lt;&gt;EUconst_NA),EUconst_ERR_Incomplete,IF(COUNTIF(AI352:AL352,TRUE)&gt;0,EUconst_ERR_Inconsistent,""))</f>
        <v/>
      </c>
      <c r="N352" s="142"/>
      <c r="O352" s="733"/>
      <c r="P352" s="644"/>
      <c r="Q352" s="30"/>
      <c r="R352" s="514" t="str">
        <f>EUconst_CNTR_ActivityData&amp;E347</f>
        <v>ActivityData_</v>
      </c>
      <c r="S352" s="497"/>
      <c r="T352" s="514" t="str">
        <f>IF(E346="","",INDEX(B_InstallationDescription!$I$71:$I$145,MATCH(S346,B_InstallationDescription!$D$71:$D$145,0)))</f>
        <v/>
      </c>
      <c r="U352" s="30"/>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0"/>
      <c r="AE352" s="518">
        <f>IF(W352=EUconst_NA,1,IF(COUNT(K352:L352)=0,0,IF(L352="",K352,L352)))</f>
        <v>0</v>
      </c>
      <c r="AF352" s="510" t="s">
        <v>311</v>
      </c>
      <c r="AG352" s="510"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4" t="b">
        <f>OR(CNTR_PFCRelevant=EUconst_NotRelevant,AND(COUNTA(CNTR_ListRelevantSections)&gt;0,E346=""))</f>
        <v>1</v>
      </c>
      <c r="BK352" s="23"/>
    </row>
    <row r="353" spans="1:63" s="1117" customFormat="1" ht="5.0999999999999996" hidden="1" customHeight="1">
      <c r="A353" s="58"/>
      <c r="B353" s="790"/>
      <c r="C353" s="814"/>
      <c r="D353" s="306"/>
      <c r="E353" s="142"/>
      <c r="F353" s="143"/>
      <c r="G353" s="143"/>
      <c r="H353" s="143" t="s">
        <v>236</v>
      </c>
      <c r="I353" s="525"/>
      <c r="J353" s="525"/>
      <c r="K353" s="143"/>
      <c r="L353" s="143"/>
      <c r="M353" s="710"/>
      <c r="N353" s="142"/>
      <c r="O353" s="733"/>
      <c r="P353" s="33"/>
      <c r="Q353" s="30"/>
      <c r="R353" s="155"/>
      <c r="S353" s="497"/>
      <c r="T353" s="30"/>
      <c r="U353" s="30"/>
      <c r="V353" s="497"/>
      <c r="W353" s="526"/>
      <c r="X353" s="30"/>
      <c r="Y353" s="30"/>
      <c r="Z353" s="30"/>
      <c r="AA353" s="30"/>
      <c r="AB353" s="342"/>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3"/>
      <c r="BK353" s="23"/>
    </row>
    <row r="354" spans="1:63" s="1117" customFormat="1" ht="12.75" hidden="1" customHeight="1">
      <c r="A354" s="58"/>
      <c r="B354" s="790"/>
      <c r="C354" s="814" t="s">
        <v>5</v>
      </c>
      <c r="D354" s="512" t="str">
        <f>Translations!$B$722</f>
        <v>A. Dažnis</v>
      </c>
      <c r="E354" s="513"/>
      <c r="F354" s="527"/>
      <c r="G354" s="1532" t="str">
        <f t="shared" ref="G354:G360" si="56">IF(OR(ISBLANK(F354),F354=EUconst_NoTier),"",IF(X354=0,EUconst_NotApplicable,IF(ISERROR(X354),"",X354)))</f>
        <v/>
      </c>
      <c r="H354" s="1556"/>
      <c r="I354" s="1624" t="str">
        <f>IF(W354=EUconst_NA,"",INDEX(PFCUnits,1))</f>
        <v>1/(vienoje elektrolizės vonioje per parą)</v>
      </c>
      <c r="J354" s="1625"/>
      <c r="K354" s="678" t="str">
        <f t="shared" ref="K354:K360" si="57">IF(L354="",AD354,"")</f>
        <v/>
      </c>
      <c r="L354" s="694"/>
      <c r="M354" s="709" t="str">
        <f>IF(AND(E347&lt;&gt;"",OR(F354="",L354=""),W354&lt;&gt;EUconst_NA),EUconst_ERR_Incomplete,IF(COUNTIF(AI354:AL354,TRUE)&gt;0,EUconst_ERR_Inconsistent,""))</f>
        <v/>
      </c>
      <c r="N354" s="495"/>
      <c r="O354" s="733"/>
      <c r="P354" s="33"/>
      <c r="Q354" s="30"/>
      <c r="R354" s="530" t="str">
        <f>R352</f>
        <v>ActivityData_</v>
      </c>
      <c r="S354" s="497"/>
      <c r="T354" s="657" t="str">
        <f>T352</f>
        <v/>
      </c>
      <c r="U354" s="30"/>
      <c r="V354" s="497">
        <v>1</v>
      </c>
      <c r="W354" s="672" t="str">
        <f>IF(E347="","",IF(U347&lt;&gt;V354,EUconst_NA,INDEX(EUwideConstants!$N:$N,MATCH(R354,EUwideConstants!$Q:$Q,0))))</f>
        <v/>
      </c>
      <c r="X354" s="533" t="str">
        <f>IF(ISBLANK(F354),"",IF(F354=EUconst_NA,"",INDEX(EUwideConstants!$H:$M,MATCH(R354,EUwideConstants!$Q:$Q,0),MATCH(F354,CNTR_TierList,0))))</f>
        <v/>
      </c>
      <c r="Y354" s="30"/>
      <c r="Z354" s="30"/>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0"/>
      <c r="AI354" s="30"/>
      <c r="AJ354" s="30"/>
      <c r="AK354" s="534" t="b">
        <f t="shared" ref="AK354:AK360" si="60">AND(L354&lt;&gt;"",W354=EUconst_NA)</f>
        <v>0</v>
      </c>
      <c r="AL354" s="30"/>
      <c r="AM354" s="30"/>
      <c r="AN354" s="30"/>
      <c r="AO354" s="493" t="s">
        <v>390</v>
      </c>
      <c r="AP354" s="493" t="s">
        <v>391</v>
      </c>
      <c r="AQ354" s="30"/>
      <c r="AR354" s="30"/>
      <c r="AS354" s="30"/>
      <c r="AT354" s="30"/>
      <c r="AU354" s="30"/>
      <c r="AV354" s="30"/>
      <c r="AW354" s="30"/>
      <c r="AX354" s="30"/>
      <c r="AY354" s="30"/>
      <c r="AZ354" s="30"/>
      <c r="BA354" s="30"/>
      <c r="BB354" s="30"/>
      <c r="BC354" s="30"/>
      <c r="BD354" s="30"/>
      <c r="BE354" s="30"/>
      <c r="BF354" s="30"/>
      <c r="BG354" s="30"/>
      <c r="BH354" s="30"/>
      <c r="BI354" s="30"/>
      <c r="BJ354" s="534" t="b">
        <f>OR(BJ352,W354=EUconst_NA)</f>
        <v>1</v>
      </c>
      <c r="BK354" s="23"/>
    </row>
    <row r="355" spans="1:63" s="1117" customFormat="1" ht="12.75" hidden="1" customHeight="1" thickBot="1">
      <c r="A355" s="58"/>
      <c r="B355" s="790"/>
      <c r="C355" s="814" t="s">
        <v>196</v>
      </c>
      <c r="D355" s="512" t="str">
        <f>Translations!$B$724</f>
        <v>A. Trukmė</v>
      </c>
      <c r="E355" s="513"/>
      <c r="F355" s="645"/>
      <c r="G355" s="1532" t="str">
        <f t="shared" si="56"/>
        <v/>
      </c>
      <c r="H355" s="1556"/>
      <c r="I355" s="1626" t="str">
        <f>IF(W355=EUconst_NA,"",INDEX(PFCUnits,2))</f>
        <v>min.</v>
      </c>
      <c r="J355" s="1627"/>
      <c r="K355" s="679" t="str">
        <f t="shared" si="57"/>
        <v/>
      </c>
      <c r="L355" s="695"/>
      <c r="M355" s="709" t="str">
        <f>IF(AND(E347&lt;&gt;"",OR(F355="",L355=""),W355&lt;&gt;EUconst_NA),EUconst_ERR_Incomplete,IF(COUNTIF(AI355:AL355,TRUE)&gt;0,EUconst_ERR_Inconsistent,""))</f>
        <v/>
      </c>
      <c r="N355" s="495"/>
      <c r="O355" s="733"/>
      <c r="P355" s="33"/>
      <c r="Q355" s="30"/>
      <c r="R355" s="552" t="str">
        <f>R354</f>
        <v>ActivityData_</v>
      </c>
      <c r="S355" s="497"/>
      <c r="T355" s="658" t="str">
        <f t="shared" ref="T355:T360" si="61">T354</f>
        <v/>
      </c>
      <c r="U355" s="30"/>
      <c r="V355" s="497">
        <v>1</v>
      </c>
      <c r="W355" s="671" t="str">
        <f>IF(E347="","",IF(U347&lt;&gt;V355,EUconst_NA,INDEX(EUwideConstants!$N:$N,MATCH(R355,EUwideConstants!$Q:$Q,0))))</f>
        <v/>
      </c>
      <c r="X355" s="555" t="str">
        <f>IF(ISBLANK(F355),"",IF(F355=EUconst_NA,"",INDEX(EUwideConstants!$H:$M,MATCH(R355,EUwideConstants!$Q:$Q,0),MATCH(F355,CNTR_TierList,0))))</f>
        <v/>
      </c>
      <c r="Y355" s="30"/>
      <c r="Z355" s="30"/>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0"/>
      <c r="AI355" s="30"/>
      <c r="AJ355" s="30"/>
      <c r="AK355" s="660" t="b">
        <f t="shared" si="60"/>
        <v>0</v>
      </c>
      <c r="AL355" s="30"/>
      <c r="AM355" s="30"/>
      <c r="AN355" s="547" t="s">
        <v>446</v>
      </c>
      <c r="AO355" s="546" t="str">
        <f>IF(ISNUMBER(U347),AE352*AE354*AE355*AE356/1000,"")</f>
        <v/>
      </c>
      <c r="AP355" s="524"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60" t="b">
        <f>OR(BJ352,W355=EUconst_NA)</f>
        <v>1</v>
      </c>
      <c r="BK355" s="23"/>
    </row>
    <row r="356" spans="1:63" s="1117" customFormat="1" ht="12.75" hidden="1" customHeight="1" thickBot="1">
      <c r="A356" s="58"/>
      <c r="B356" s="790"/>
      <c r="C356" s="814" t="s">
        <v>197</v>
      </c>
      <c r="D356" s="652" t="str">
        <f>Translations!$B$726</f>
        <v>A. NITF(CF4)</v>
      </c>
      <c r="E356" s="653"/>
      <c r="F356" s="548"/>
      <c r="G356" s="1628" t="str">
        <f t="shared" si="56"/>
        <v/>
      </c>
      <c r="H356" s="1629"/>
      <c r="I356" s="1626" t="str">
        <f>IF(W356=EUconst_NA,"",INDEX(PFCUnits,3))</f>
        <v>(kg CF4/t Al)/(min./vienoje elektrolizės vonioje per parą)</v>
      </c>
      <c r="J356" s="1627"/>
      <c r="K356" s="680" t="str">
        <f t="shared" si="57"/>
        <v/>
      </c>
      <c r="L356" s="683"/>
      <c r="M356" s="711" t="str">
        <f>IF(AND(E347&lt;&gt;"",OR(F356="",COUNT(K356:L356)=0),W356&lt;&gt;EUconst_NA),EUconst_ERR_Incomplete,IF(COUNTIF(AI356:AL356,TRUE)&gt;0,EUconst_ERR_Inconsistent,""))</f>
        <v/>
      </c>
      <c r="N356" s="142"/>
      <c r="O356" s="733"/>
      <c r="P356" s="33"/>
      <c r="Q356" s="30"/>
      <c r="R356" s="552" t="str">
        <f>EUconst_CNTR_EF&amp;$E347</f>
        <v>EF_</v>
      </c>
      <c r="S356" s="497"/>
      <c r="T356" s="658" t="str">
        <f t="shared" si="61"/>
        <v/>
      </c>
      <c r="U356" s="30"/>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0"/>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0"/>
      <c r="AI356" s="30"/>
      <c r="AJ356" s="30"/>
      <c r="AK356" s="660" t="b">
        <f t="shared" si="60"/>
        <v>0</v>
      </c>
      <c r="AL356" s="30"/>
      <c r="AM356" s="30"/>
      <c r="AN356" s="547" t="s">
        <v>447</v>
      </c>
      <c r="AO356" s="546">
        <f>IF(AND(ISNUMBER(AO355),AO355&gt;0),AO355*AE360,0)</f>
        <v>0</v>
      </c>
      <c r="AP356" s="524">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60" t="b">
        <f>OR(BJ352,W356=EUconst_NA)</f>
        <v>1</v>
      </c>
      <c r="BK356" s="23"/>
    </row>
    <row r="357" spans="1:63" s="1117" customFormat="1" ht="12.75" hidden="1" customHeight="1" thickBot="1">
      <c r="A357" s="58"/>
      <c r="B357" s="790"/>
      <c r="C357" s="814" t="s">
        <v>198</v>
      </c>
      <c r="D357" s="650" t="str">
        <f>Translations!$B$728</f>
        <v>B. AEV</v>
      </c>
      <c r="E357" s="651"/>
      <c r="F357" s="645"/>
      <c r="G357" s="1622" t="str">
        <f t="shared" si="56"/>
        <v/>
      </c>
      <c r="H357" s="1623"/>
      <c r="I357" s="1626" t="str">
        <f>IF(W357=EUconst_NA,"",INDEX(PFCUnits,4))</f>
        <v>mV</v>
      </c>
      <c r="J357" s="1627"/>
      <c r="K357" s="679" t="str">
        <f t="shared" si="57"/>
        <v/>
      </c>
      <c r="L357" s="695"/>
      <c r="M357" s="712" t="str">
        <f>IF(AND(E347&lt;&gt;"",OR(F357="",L357=""),W357&lt;&gt;EUconst_NA),EUconst_ERR_Incomplete,IF(COUNTIF(AI357:AL357,TRUE)&gt;0,EUconst_ERR_Inconsistent,""))</f>
        <v/>
      </c>
      <c r="N357" s="142"/>
      <c r="O357" s="733"/>
      <c r="P357" s="644"/>
      <c r="Q357" s="30"/>
      <c r="R357" s="552" t="str">
        <f>R352</f>
        <v>ActivityData_</v>
      </c>
      <c r="S357" s="497"/>
      <c r="T357" s="658" t="str">
        <f t="shared" si="61"/>
        <v/>
      </c>
      <c r="U357" s="30"/>
      <c r="V357" s="497">
        <v>2</v>
      </c>
      <c r="W357" s="671" t="str">
        <f>IF(E347="","",IF(U347&lt;&gt;V357,EUconst_NA,INDEX(EUwideConstants!$N:$N,MATCH(R357,EUwideConstants!$Q:$Q,0))))</f>
        <v/>
      </c>
      <c r="X357" s="555" t="str">
        <f>IF(ISBLANK(F357),"",IF(F357=EUconst_NA,"",INDEX(EUwideConstants!$H:$M,MATCH(R357,EUwideConstants!$Q:$Q,0),MATCH(F357,CNTR_TierList,0))))</f>
        <v/>
      </c>
      <c r="Y357" s="30"/>
      <c r="Z357" s="30"/>
      <c r="AA357" s="557" t="b">
        <f>AND(AA352,W357&lt;&gt;EUconst_NA)</f>
        <v>0</v>
      </c>
      <c r="AB357" s="342"/>
      <c r="AC357" s="676"/>
      <c r="AD357" s="676" t="str">
        <f>""</f>
        <v/>
      </c>
      <c r="AE357" s="660">
        <f t="shared" si="58"/>
        <v>0</v>
      </c>
      <c r="AF357" s="660" t="b">
        <f>AND(AA357=TRUE,OR(ISNUMBER(L357),NOT(ISNUMBER(Y357))))</f>
        <v>0</v>
      </c>
      <c r="AG357" s="660" t="b">
        <f t="shared" si="59"/>
        <v>0</v>
      </c>
      <c r="AH357" s="30"/>
      <c r="AI357" s="30"/>
      <c r="AJ357" s="30"/>
      <c r="AK357" s="660" t="b">
        <f t="shared" si="60"/>
        <v>0</v>
      </c>
      <c r="AL357" s="30"/>
      <c r="AM357" s="30"/>
      <c r="AN357" s="547" t="s">
        <v>446</v>
      </c>
      <c r="AO357" s="546" t="str">
        <f>IF(ISNUMBER(AO355),AO355*AE365,"")</f>
        <v/>
      </c>
      <c r="AP357" s="524"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60" t="b">
        <f>OR(BJ352,W357=EUconst_NA)</f>
        <v>1</v>
      </c>
      <c r="BK357" s="23"/>
    </row>
    <row r="358" spans="1:63" s="1117" customFormat="1" ht="12.75" hidden="1" customHeight="1" thickBot="1">
      <c r="A358" s="58"/>
      <c r="B358" s="790"/>
      <c r="C358" s="777" t="s">
        <v>199</v>
      </c>
      <c r="D358" s="512" t="str">
        <f>Translations!$B$730</f>
        <v>B. EN</v>
      </c>
      <c r="E358" s="513"/>
      <c r="F358" s="548"/>
      <c r="G358" s="1532" t="str">
        <f t="shared" si="56"/>
        <v/>
      </c>
      <c r="H358" s="1533"/>
      <c r="I358" s="1626" t="str">
        <f>IF(W358=EUconst_NA,"","-")</f>
        <v>-</v>
      </c>
      <c r="J358" s="1627"/>
      <c r="K358" s="681" t="str">
        <f t="shared" si="57"/>
        <v/>
      </c>
      <c r="L358" s="571"/>
      <c r="M358" s="709" t="str">
        <f>IF(AND(E347&lt;&gt;"",OR(F358="",L358=""),W358&lt;&gt;EUconst_NA),EUconst_ERR_Incomplete,IF(COUNTIF(AI358:AL358,TRUE)&gt;0,EUconst_ERR_Inconsistent,""))</f>
        <v/>
      </c>
      <c r="N358" s="142"/>
      <c r="O358" s="733"/>
      <c r="P358" s="644"/>
      <c r="Q358" s="30"/>
      <c r="R358" s="552" t="str">
        <f>R357</f>
        <v>ActivityData_</v>
      </c>
      <c r="S358" s="497"/>
      <c r="T358" s="658" t="str">
        <f t="shared" si="61"/>
        <v/>
      </c>
      <c r="U358" s="30"/>
      <c r="V358" s="497">
        <v>2</v>
      </c>
      <c r="W358" s="671" t="str">
        <f>IF(E347="","",IF(U347&lt;&gt;V358,EUconst_NA,INDEX(EUwideConstants!$N:$N,MATCH(R358,EUwideConstants!$Q:$Q,0))))</f>
        <v/>
      </c>
      <c r="X358" s="555" t="str">
        <f>IF(ISBLANK(F358),"",IF(F358=EUconst_NA,"",INDEX(EUwideConstants!$H:$M,MATCH(R358,EUwideConstants!$Q:$Q,0),MATCH(F358,CNTR_TierList,0))))</f>
        <v/>
      </c>
      <c r="Y358" s="30"/>
      <c r="Z358" s="30"/>
      <c r="AA358" s="557" t="b">
        <f>AND(AA352,W358&lt;&gt;EUconst_NA)</f>
        <v>0</v>
      </c>
      <c r="AB358" s="342"/>
      <c r="AC358" s="676"/>
      <c r="AD358" s="676" t="str">
        <f>""</f>
        <v/>
      </c>
      <c r="AE358" s="660">
        <f t="shared" si="58"/>
        <v>0</v>
      </c>
      <c r="AF358" s="660" t="b">
        <f>AND(AA358=TRUE,OR(ISNUMBER(L358),NOT(ISNUMBER(Y358))))</f>
        <v>0</v>
      </c>
      <c r="AG358" s="660" t="b">
        <f t="shared" si="59"/>
        <v>0</v>
      </c>
      <c r="AH358" s="30"/>
      <c r="AI358" s="30"/>
      <c r="AJ358" s="30"/>
      <c r="AK358" s="708" t="b">
        <f t="shared" si="60"/>
        <v>0</v>
      </c>
      <c r="AL358" s="524" t="b">
        <f>L358&gt;100%</f>
        <v>0</v>
      </c>
      <c r="AM358" s="30"/>
      <c r="AN358" s="547" t="s">
        <v>447</v>
      </c>
      <c r="AO358" s="546">
        <f>IF(ISNUMBER(AO356),AO356*AE366,"")</f>
        <v>0</v>
      </c>
      <c r="AP358" s="524">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60" t="b">
        <f>OR(BJ352,W358=EUconst_NA)</f>
        <v>1</v>
      </c>
      <c r="BK358" s="23"/>
    </row>
    <row r="359" spans="1:63" s="1117" customFormat="1" ht="12.75" hidden="1" customHeight="1" thickBot="1">
      <c r="A359" s="58"/>
      <c r="B359" s="790"/>
      <c r="C359" s="814" t="s">
        <v>200</v>
      </c>
      <c r="D359" s="652" t="str">
        <f>Translations!$B$732</f>
        <v>B. VĮK</v>
      </c>
      <c r="E359" s="653"/>
      <c r="F359" s="548"/>
      <c r="G359" s="1628" t="str">
        <f t="shared" si="56"/>
        <v/>
      </c>
      <c r="H359" s="1629"/>
      <c r="I359" s="1626" t="str">
        <f>IF(W359=EUconst_NA,"",INDEX(PFCUnits,6))</f>
        <v>(kg CF4)/(t Al mV)</v>
      </c>
      <c r="J359" s="1627"/>
      <c r="K359" s="681" t="str">
        <f t="shared" si="57"/>
        <v/>
      </c>
      <c r="L359" s="684"/>
      <c r="M359" s="711" t="str">
        <f>IF(AND(E347&lt;&gt;"",OR(F359="",COUNT(K359:L359)=0),W359&lt;&gt;EUconst_NA),EUconst_ERR_Incomplete,IF(COUNTIF(AI359:AL359,TRUE)&gt;0,EUconst_ERR_Inconsistent,""))</f>
        <v/>
      </c>
      <c r="N359" s="142"/>
      <c r="O359" s="733"/>
      <c r="P359" s="33"/>
      <c r="Q359" s="30"/>
      <c r="R359" s="552" t="str">
        <f>EUconst_CNTR_EF&amp;E347</f>
        <v>EF_</v>
      </c>
      <c r="S359" s="497"/>
      <c r="T359" s="658" t="str">
        <f t="shared" si="61"/>
        <v/>
      </c>
      <c r="U359" s="30"/>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0"/>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0"/>
      <c r="AI359" s="30"/>
      <c r="AJ359" s="30"/>
      <c r="AK359" s="660"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60" t="b">
        <f>OR(BJ352,W359=EUconst_NA)</f>
        <v>1</v>
      </c>
      <c r="BK359" s="23"/>
    </row>
    <row r="360" spans="1:63" s="1117" customFormat="1" ht="12.75" hidden="1" customHeight="1" thickBot="1">
      <c r="A360" s="58"/>
      <c r="B360" s="790"/>
      <c r="C360" s="814" t="s">
        <v>329</v>
      </c>
      <c r="D360" s="650" t="str">
        <f>Translations!$B$734</f>
        <v>F(C2F6)</v>
      </c>
      <c r="E360" s="651"/>
      <c r="F360" s="597"/>
      <c r="G360" s="1622" t="str">
        <f t="shared" si="56"/>
        <v/>
      </c>
      <c r="H360" s="1623"/>
      <c r="I360" s="1617" t="str">
        <f>IF(W360=EUconst_NA,"",INDEX(PFCUnits,7))</f>
        <v>t C2F6/t CF4</v>
      </c>
      <c r="J360" s="1618"/>
      <c r="K360" s="682" t="str">
        <f t="shared" si="57"/>
        <v/>
      </c>
      <c r="L360" s="685"/>
      <c r="M360" s="712" t="str">
        <f>IF(AND(E347&lt;&gt;"",OR(F360="",COUNT(K360:L360)=0),W360&lt;&gt;EUconst_NA),EUconst_ERR_Incomplete,IF(COUNTIF(AI360:AL360,TRUE)&gt;0,EUconst_ERR_Inconsistent,""))</f>
        <v/>
      </c>
      <c r="N360" s="142"/>
      <c r="O360" s="733"/>
      <c r="P360" s="33"/>
      <c r="Q360" s="30"/>
      <c r="R360" s="599" t="str">
        <f>EUconst_CNTR_EF&amp;E347</f>
        <v>EF_</v>
      </c>
      <c r="S360" s="497"/>
      <c r="T360" s="659" t="str">
        <f t="shared" si="61"/>
        <v/>
      </c>
      <c r="U360" s="30"/>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0"/>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0"/>
      <c r="AI360" s="30"/>
      <c r="AJ360" s="30"/>
      <c r="AK360" s="582"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2" t="b">
        <f>OR(BJ352,W360=EUconst_NA)</f>
        <v>1</v>
      </c>
      <c r="BK360" s="23"/>
    </row>
    <row r="361" spans="1:63" s="1117" customFormat="1" ht="4.5" hidden="1" customHeight="1">
      <c r="A361" s="58"/>
      <c r="B361" s="790"/>
      <c r="C361" s="166"/>
      <c r="D361" s="180"/>
      <c r="E361" s="142"/>
      <c r="F361" s="142"/>
      <c r="G361" s="142"/>
      <c r="H361" s="142"/>
      <c r="I361" s="142"/>
      <c r="J361" s="142"/>
      <c r="K361" s="142"/>
      <c r="L361" s="142"/>
      <c r="M361" s="704"/>
      <c r="N361" s="142"/>
      <c r="O361" s="733"/>
      <c r="P361" s="33"/>
      <c r="Q361" s="174"/>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7" customFormat="1" ht="12.75" hidden="1" customHeight="1">
      <c r="A362" s="58"/>
      <c r="B362" s="790"/>
      <c r="C362" s="777" t="s">
        <v>330</v>
      </c>
      <c r="D362" s="646" t="str">
        <f>Translations!$B$748</f>
        <v>Išmestas CF4 kiekis</v>
      </c>
      <c r="E362" s="647"/>
      <c r="F362" s="513"/>
      <c r="G362" s="513"/>
      <c r="H362" s="513"/>
      <c r="I362" s="1624" t="str">
        <f>EUconst_t</f>
        <v>t</v>
      </c>
      <c r="J362" s="1625"/>
      <c r="K362" s="513"/>
      <c r="L362" s="955" t="str">
        <f>IF(ISNUMBER(U347),INDEX(AO355:AP355,U347),"")</f>
        <v/>
      </c>
      <c r="M362" s="704"/>
      <c r="N362" s="142"/>
      <c r="O362" s="733"/>
      <c r="P362" s="33"/>
      <c r="Q362" s="174"/>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7" customFormat="1" ht="12.75" hidden="1" customHeight="1" thickBot="1">
      <c r="A363" s="58"/>
      <c r="B363" s="790"/>
      <c r="C363" s="777" t="s">
        <v>454</v>
      </c>
      <c r="D363" s="646" t="str">
        <f>Translations!$B$749</f>
        <v>Išmestas C2F6 kiekis</v>
      </c>
      <c r="E363" s="513"/>
      <c r="F363" s="513"/>
      <c r="G363" s="513"/>
      <c r="H363" s="513"/>
      <c r="I363" s="1617" t="str">
        <f>EUconst_t</f>
        <v>t</v>
      </c>
      <c r="J363" s="1618"/>
      <c r="K363" s="513"/>
      <c r="L363" s="956" t="str">
        <f>IF(ISNUMBER(U347),INDEX(AO356:AP356,U347),"")</f>
        <v/>
      </c>
      <c r="M363" s="704"/>
      <c r="N363" s="142"/>
      <c r="O363" s="733"/>
      <c r="P363" s="33"/>
      <c r="Q363" s="174"/>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7" customFormat="1" ht="5.0999999999999996" hidden="1" customHeight="1">
      <c r="A364" s="58"/>
      <c r="B364" s="790"/>
      <c r="C364" s="779"/>
      <c r="D364" s="180"/>
      <c r="E364" s="142"/>
      <c r="F364" s="142"/>
      <c r="G364" s="142"/>
      <c r="H364" s="142"/>
      <c r="I364" s="142"/>
      <c r="J364" s="142"/>
      <c r="K364" s="142"/>
      <c r="L364" s="142"/>
      <c r="M364" s="704"/>
      <c r="N364" s="142"/>
      <c r="O364" s="733"/>
      <c r="P364" s="33"/>
      <c r="Q364" s="174"/>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7" customFormat="1" ht="12.75" hidden="1" customHeight="1">
      <c r="A365" s="58"/>
      <c r="B365" s="790"/>
      <c r="C365" s="777" t="s">
        <v>455</v>
      </c>
      <c r="D365" s="646" t="str">
        <f>Translations!$B$736</f>
        <v>VAP(CF4)</v>
      </c>
      <c r="E365" s="647"/>
      <c r="F365" s="513"/>
      <c r="G365" s="513"/>
      <c r="H365" s="513"/>
      <c r="I365" s="1624" t="s">
        <v>444</v>
      </c>
      <c r="J365" s="1625"/>
      <c r="K365" s="648">
        <f>IF(L365="",7390,"")</f>
        <v>7390</v>
      </c>
      <c r="L365" s="968"/>
      <c r="M365" s="704"/>
      <c r="N365" s="142"/>
      <c r="O365" s="733"/>
      <c r="P365" s="644"/>
      <c r="Q365" s="174"/>
      <c r="R365" s="30"/>
      <c r="S365" s="30"/>
      <c r="T365" s="30"/>
      <c r="U365" s="30"/>
      <c r="V365" s="30"/>
      <c r="W365" s="30"/>
      <c r="X365" s="30"/>
      <c r="Y365" s="30"/>
      <c r="Z365" s="30"/>
      <c r="AA365" s="30"/>
      <c r="AB365" s="30"/>
      <c r="AC365" s="30"/>
      <c r="AD365" s="30"/>
      <c r="AE365" s="535">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1" t="b">
        <f>BJ352</f>
        <v>1</v>
      </c>
      <c r="BK365" s="23"/>
    </row>
    <row r="366" spans="1:63" s="1117" customFormat="1" ht="12.75" hidden="1" customHeight="1" thickBot="1">
      <c r="A366" s="58"/>
      <c r="B366" s="790"/>
      <c r="C366" s="777" t="s">
        <v>456</v>
      </c>
      <c r="D366" s="646" t="str">
        <f>Translations!$B$738</f>
        <v>VAP(C2F6)</v>
      </c>
      <c r="E366" s="647"/>
      <c r="F366" s="513"/>
      <c r="G366" s="513"/>
      <c r="H366" s="513"/>
      <c r="I366" s="1617" t="s">
        <v>445</v>
      </c>
      <c r="J366" s="1618"/>
      <c r="K366" s="649">
        <f>IF(L366="",12200,"")</f>
        <v>12200</v>
      </c>
      <c r="L366" s="969"/>
      <c r="M366" s="704"/>
      <c r="N366" s="142"/>
      <c r="O366" s="733"/>
      <c r="P366" s="33"/>
      <c r="Q366" s="174"/>
      <c r="R366" s="30"/>
      <c r="S366" s="30"/>
      <c r="T366" s="30"/>
      <c r="U366" s="30"/>
      <c r="V366" s="30"/>
      <c r="W366" s="30"/>
      <c r="X366" s="30"/>
      <c r="Y366" s="30"/>
      <c r="Z366" s="30"/>
      <c r="AA366" s="30"/>
      <c r="AB366" s="30"/>
      <c r="AC366" s="30"/>
      <c r="AD366" s="30"/>
      <c r="AE366" s="674">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80" t="b">
        <f>BJ365</f>
        <v>1</v>
      </c>
      <c r="BK366" s="23"/>
    </row>
    <row r="367" spans="1:63" s="1117" customFormat="1" ht="5.0999999999999996" hidden="1" customHeight="1">
      <c r="A367" s="58"/>
      <c r="B367" s="790"/>
      <c r="C367" s="779"/>
      <c r="D367" s="306"/>
      <c r="E367" s="495"/>
      <c r="F367" s="142"/>
      <c r="G367" s="142"/>
      <c r="H367" s="142"/>
      <c r="I367" s="142"/>
      <c r="J367" s="142"/>
      <c r="K367" s="142"/>
      <c r="L367" s="704"/>
      <c r="M367" s="704"/>
      <c r="N367" s="142"/>
      <c r="O367" s="733"/>
      <c r="P367" s="33"/>
      <c r="Q367" s="174"/>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7" customFormat="1" ht="12.75" hidden="1" customHeight="1">
      <c r="A368" s="58"/>
      <c r="B368" s="790"/>
      <c r="C368" s="777" t="s">
        <v>457</v>
      </c>
      <c r="D368" s="646" t="str">
        <f>Translations!$B$748</f>
        <v>Išmestas CF4 kiekis</v>
      </c>
      <c r="E368" s="647"/>
      <c r="F368" s="513"/>
      <c r="G368" s="513"/>
      <c r="H368" s="513"/>
      <c r="I368" s="1624" t="s">
        <v>260</v>
      </c>
      <c r="J368" s="1625"/>
      <c r="K368" s="513"/>
      <c r="L368" s="705" t="str">
        <f>IF(ISNUMBER(U347),INDEX(AO357:AP357,U347),"")</f>
        <v/>
      </c>
      <c r="M368" s="704"/>
      <c r="N368" s="142"/>
      <c r="O368" s="733"/>
      <c r="P368" s="644"/>
      <c r="Q368" s="174"/>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7" customFormat="1" ht="12.75" hidden="1" customHeight="1" thickBot="1">
      <c r="A369" s="58"/>
      <c r="B369" s="790"/>
      <c r="C369" s="777" t="s">
        <v>458</v>
      </c>
      <c r="D369" s="646" t="str">
        <f>Translations!$B$749</f>
        <v>Išmestas C2F6 kiekis</v>
      </c>
      <c r="E369" s="513"/>
      <c r="F369" s="513"/>
      <c r="G369" s="513"/>
      <c r="H369" s="513"/>
      <c r="I369" s="1617" t="s">
        <v>260</v>
      </c>
      <c r="J369" s="1618"/>
      <c r="K369" s="513"/>
      <c r="L369" s="706" t="str">
        <f>IF(ISNUMBER(U347),INDEX(AO358:AP358,U347),"")</f>
        <v/>
      </c>
      <c r="M369" s="704"/>
      <c r="N369" s="142"/>
      <c r="O369" s="733"/>
      <c r="P369" s="33"/>
      <c r="Q369" s="174"/>
      <c r="R369" s="30"/>
      <c r="S369" s="30"/>
      <c r="T369" s="30"/>
      <c r="U369" s="30"/>
      <c r="V369" s="30"/>
      <c r="W369" s="30"/>
      <c r="X369" s="30"/>
      <c r="Y369" s="30"/>
      <c r="Z369" s="30"/>
      <c r="AA369" s="30"/>
      <c r="AB369" s="30"/>
      <c r="AC369" s="30"/>
      <c r="AD369" s="30"/>
      <c r="AE369" s="492"/>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7" customFormat="1" ht="5.0999999999999996" hidden="1" customHeight="1">
      <c r="A370" s="58"/>
      <c r="B370" s="790"/>
      <c r="C370" s="779"/>
      <c r="D370" s="180"/>
      <c r="E370" s="142"/>
      <c r="F370" s="142"/>
      <c r="G370" s="142"/>
      <c r="H370" s="142"/>
      <c r="I370" s="142"/>
      <c r="J370" s="142"/>
      <c r="K370" s="142"/>
      <c r="L370" s="142"/>
      <c r="M370" s="704"/>
      <c r="N370" s="142"/>
      <c r="O370" s="733"/>
      <c r="P370" s="33"/>
      <c r="Q370" s="174"/>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7" customFormat="1" ht="12.75" hidden="1" customHeight="1" thickBot="1">
      <c r="A371" s="58"/>
      <c r="B371" s="790"/>
      <c r="C371" s="777" t="s">
        <v>459</v>
      </c>
      <c r="D371" s="646" t="str">
        <f>Translations!$B$167</f>
        <v>Surinkimo efektyvumas</v>
      </c>
      <c r="E371" s="513"/>
      <c r="F371" s="513"/>
      <c r="G371" s="513"/>
      <c r="H371" s="513"/>
      <c r="I371" s="1619" t="s">
        <v>261</v>
      </c>
      <c r="J371" s="1620"/>
      <c r="K371" s="513"/>
      <c r="L371" s="970"/>
      <c r="M371" s="709" t="str">
        <f>IF(AND(E347&lt;&gt;"",L371=""),EUconst_ERR_Incomplete,IF(COUNTIF(AI371:AL371,TRUE)&gt;0,EUconst_ERR_Inconsistent,""))</f>
        <v/>
      </c>
      <c r="N371" s="142"/>
      <c r="O371" s="733"/>
      <c r="P371" s="644"/>
      <c r="Q371" s="174"/>
      <c r="R371" s="30"/>
      <c r="S371" s="30"/>
      <c r="T371" s="30"/>
      <c r="U371" s="30"/>
      <c r="V371" s="30"/>
      <c r="W371" s="30"/>
      <c r="X371" s="30"/>
      <c r="Y371" s="30"/>
      <c r="Z371" s="30"/>
      <c r="AA371" s="30"/>
      <c r="AB371" s="30"/>
      <c r="AC371" s="30"/>
      <c r="AD371" s="30"/>
      <c r="AE371" s="30"/>
      <c r="AF371" s="30"/>
      <c r="AG371" s="30"/>
      <c r="AH371" s="30"/>
      <c r="AI371" s="30"/>
      <c r="AJ371" s="30"/>
      <c r="AK371" s="30"/>
      <c r="AL371" s="524"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4" t="b">
        <f>BJ352</f>
        <v>1</v>
      </c>
      <c r="BK371" s="23"/>
    </row>
    <row r="372" spans="1:63" s="1117" customFormat="1" ht="5.0999999999999996" hidden="1" customHeight="1">
      <c r="A372" s="58"/>
      <c r="B372" s="790"/>
      <c r="C372" s="166"/>
      <c r="D372" s="180"/>
      <c r="E372" s="142"/>
      <c r="F372" s="142"/>
      <c r="G372" s="142"/>
      <c r="H372" s="142"/>
      <c r="I372" s="142"/>
      <c r="J372" s="142"/>
      <c r="K372" s="142"/>
      <c r="L372" s="142"/>
      <c r="M372" s="142"/>
      <c r="N372" s="142"/>
      <c r="O372" s="733"/>
      <c r="P372" s="33"/>
      <c r="Q372" s="174"/>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7" customFormat="1" ht="12.75" hidden="1" customHeight="1" thickBot="1">
      <c r="A373" s="58"/>
      <c r="B373" s="790"/>
      <c r="C373" s="166"/>
      <c r="D373" s="1558" t="str">
        <f>Translations!$B$674</f>
        <v>Pakopos galioja nuo:</v>
      </c>
      <c r="E373" s="1558"/>
      <c r="F373" s="1559"/>
      <c r="G373" s="616"/>
      <c r="H373" s="615" t="str">
        <f>Translations!$B$675</f>
        <v>iki:</v>
      </c>
      <c r="I373" s="616"/>
      <c r="J373" s="142"/>
      <c r="K373" s="142"/>
      <c r="L373" s="142"/>
      <c r="M373" s="142"/>
      <c r="N373" s="142"/>
      <c r="O373" s="733"/>
      <c r="P373" s="33"/>
      <c r="Q373" s="174"/>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4" t="b">
        <f>BJ352</f>
        <v>1</v>
      </c>
      <c r="BK373" s="23"/>
    </row>
    <row r="374" spans="1:63" s="1117" customFormat="1" ht="5.0999999999999996" hidden="1" customHeight="1">
      <c r="A374" s="30"/>
      <c r="B374" s="572"/>
      <c r="C374" s="142"/>
      <c r="D374" s="180"/>
      <c r="E374" s="142"/>
      <c r="F374" s="142"/>
      <c r="G374" s="142"/>
      <c r="H374" s="142"/>
      <c r="I374" s="142"/>
      <c r="J374" s="142"/>
      <c r="K374" s="142"/>
      <c r="L374" s="142"/>
      <c r="M374" s="142"/>
      <c r="N374" s="142"/>
      <c r="O374" s="573"/>
      <c r="P374" s="497"/>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7" customFormat="1" ht="12.75" hidden="1" customHeight="1" thickBot="1">
      <c r="A375" s="30"/>
      <c r="B375" s="572"/>
      <c r="C375" s="142"/>
      <c r="D375" s="1534" t="str">
        <f>Translations!$B$160</f>
        <v>Pastabos:</v>
      </c>
      <c r="E375" s="1535"/>
      <c r="F375" s="1621"/>
      <c r="G375" s="1621"/>
      <c r="H375" s="1621"/>
      <c r="I375" s="1621"/>
      <c r="J375" s="1621"/>
      <c r="K375" s="1621"/>
      <c r="L375" s="1621"/>
      <c r="M375" s="1621"/>
      <c r="N375" s="1621"/>
      <c r="O375" s="573"/>
      <c r="P375" s="497"/>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4" t="b">
        <f>BJ373</f>
        <v>1</v>
      </c>
      <c r="BK375" s="23"/>
    </row>
    <row r="376" spans="1:63" s="1114" customFormat="1" ht="12.75" hidden="1" customHeight="1" thickBot="1">
      <c r="A376" s="58"/>
      <c r="B376" s="838"/>
      <c r="C376" s="499"/>
      <c r="D376" s="500"/>
      <c r="E376" s="501"/>
      <c r="F376" s="499"/>
      <c r="G376" s="502"/>
      <c r="H376" s="502"/>
      <c r="I376" s="502"/>
      <c r="J376" s="502"/>
      <c r="K376" s="502"/>
      <c r="L376" s="502"/>
      <c r="M376" s="502"/>
      <c r="N376" s="502"/>
      <c r="O376" s="740"/>
      <c r="P376" s="494"/>
      <c r="Q376" s="58"/>
      <c r="R376" s="58"/>
      <c r="S376" s="498"/>
      <c r="T376" s="58"/>
      <c r="U376" s="58"/>
      <c r="V376" s="49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4" customFormat="1" ht="12.75" hidden="1" customHeight="1">
      <c r="A377" s="58"/>
      <c r="B377" s="838"/>
      <c r="C377" s="495"/>
      <c r="D377" s="180"/>
      <c r="E377" s="496"/>
      <c r="F377" s="495"/>
      <c r="G377" s="487"/>
      <c r="H377" s="487"/>
      <c r="I377" s="487"/>
      <c r="J377" s="487"/>
      <c r="K377" s="487"/>
      <c r="L377" s="487"/>
      <c r="M377" s="487"/>
      <c r="N377" s="487"/>
      <c r="O377" s="740"/>
      <c r="P377" s="494"/>
      <c r="Q377" s="58"/>
      <c r="R377" s="58"/>
      <c r="S377" s="498"/>
      <c r="T377" s="58"/>
      <c r="U377" s="58"/>
      <c r="V377" s="498"/>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8" customFormat="1" ht="15" hidden="1" customHeight="1">
      <c r="A378" s="1"/>
      <c r="B378" s="793"/>
      <c r="C378" s="7"/>
      <c r="D378" s="7"/>
      <c r="E378" s="150"/>
      <c r="F378" s="1365" t="str">
        <f>EUconst_MsgNextSheet</f>
        <v xml:space="preserve">&lt;&lt;&lt; Į kitą lapą pereisite paspaudę čia &gt;&gt;&gt; </v>
      </c>
      <c r="G378" s="1365"/>
      <c r="H378" s="1365"/>
      <c r="I378" s="1365"/>
      <c r="J378" s="1365"/>
      <c r="K378" s="1365"/>
      <c r="L378" s="1365"/>
      <c r="M378" s="150"/>
      <c r="N378" s="150"/>
      <c r="O378" s="736"/>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hidden="1" thickBot="1">
      <c r="A379" s="56"/>
      <c r="B379" s="839"/>
      <c r="C379" s="828"/>
      <c r="D379" s="840"/>
      <c r="E379" s="840"/>
      <c r="F379" s="840"/>
      <c r="G379" s="840"/>
      <c r="H379" s="840"/>
      <c r="I379" s="840"/>
      <c r="J379" s="840"/>
      <c r="K379" s="828"/>
      <c r="L379" s="828"/>
      <c r="M379" s="828"/>
      <c r="N379" s="828"/>
      <c r="O379" s="841"/>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c r="A380" s="56"/>
      <c r="B380" s="250"/>
      <c r="C380" s="250"/>
      <c r="D380" s="266"/>
      <c r="E380" s="266"/>
      <c r="F380" s="266"/>
      <c r="G380" s="266"/>
      <c r="H380" s="266"/>
      <c r="I380" s="266"/>
      <c r="J380" s="266"/>
      <c r="K380" s="250"/>
      <c r="L380" s="250"/>
      <c r="M380" s="250"/>
      <c r="N380" s="250"/>
      <c r="O380" s="266"/>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c r="A383" s="47" t="s">
        <v>87</v>
      </c>
      <c r="B383" s="250"/>
      <c r="C383" s="250"/>
      <c r="D383" s="250"/>
      <c r="E383" s="250"/>
      <c r="F383" s="622"/>
      <c r="G383" s="623"/>
      <c r="H383" s="623"/>
      <c r="I383" s="623" t="s">
        <v>74</v>
      </c>
      <c r="J383" s="623"/>
      <c r="K383" s="623"/>
      <c r="L383" s="623"/>
      <c r="M383" s="633" t="s">
        <v>437</v>
      </c>
      <c r="N383" s="250"/>
      <c r="O383" s="267"/>
      <c r="P383" s="45"/>
      <c r="Q383" s="45"/>
      <c r="R383" s="45"/>
      <c r="S383" s="45"/>
      <c r="T383" s="45"/>
      <c r="U383" s="45"/>
      <c r="V383" s="45"/>
      <c r="W383" s="45"/>
      <c r="X383" s="45"/>
      <c r="Y383" s="45"/>
      <c r="Z383" s="45"/>
      <c r="AA383" s="45"/>
    </row>
    <row r="384" spans="1:63" s="1119" customFormat="1" hidden="1">
      <c r="A384" s="1"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c r="A385" s="1"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c r="A386" s="1" t="s">
        <v>87</v>
      </c>
      <c r="B386" s="202"/>
      <c r="C386" s="202"/>
      <c r="D386" s="202"/>
      <c r="E386" s="202"/>
      <c r="F386" s="625">
        <v>3</v>
      </c>
      <c r="G386" s="621" t="str">
        <f t="shared" si="62"/>
        <v>netaik.</v>
      </c>
      <c r="H386" s="620" t="str">
        <f>IF(G386=EUconst_NA,"",MAX($H$56:H385)+1)</f>
        <v/>
      </c>
      <c r="I386" s="631" t="str">
        <f t="shared" si="63"/>
        <v/>
      </c>
      <c r="J386" s="620"/>
      <c r="K386" s="620"/>
      <c r="L386" s="620"/>
      <c r="M386" s="626"/>
      <c r="N386" s="7"/>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c r="A387" s="1"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c r="A388" s="1"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c r="A389" s="1"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c r="A390" s="1"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c r="A391" s="1"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c r="A392" s="1"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c r="A393" s="1"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c r="A394" s="47" t="s">
        <v>87</v>
      </c>
      <c r="B394" s="7"/>
      <c r="C394" s="7"/>
      <c r="D394" s="141"/>
      <c r="E394" s="7"/>
      <c r="F394" s="7"/>
      <c r="G394" s="7"/>
      <c r="H394" s="7"/>
      <c r="I394" s="7"/>
      <c r="J394" s="7"/>
      <c r="K394" s="7"/>
      <c r="L394" s="7"/>
      <c r="M394" s="7"/>
      <c r="N394" s="7"/>
      <c r="O394" s="7"/>
      <c r="P394" s="7"/>
    </row>
    <row r="395" spans="1:63">
      <c r="D395" s="5"/>
      <c r="E395" s="5"/>
      <c r="F395" s="5"/>
      <c r="G395" s="5"/>
      <c r="H395" s="5"/>
      <c r="I395" s="5"/>
      <c r="J395" s="5"/>
      <c r="O395" s="5"/>
      <c r="Y395" s="250"/>
      <c r="Z395" s="250"/>
      <c r="AA395" s="250"/>
    </row>
  </sheetData>
  <sheetProtection sheet="1" objects="1" scenarios="1"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sheetPr codeName="Tabelle3">
    <tabColor theme="7" tint="-0.249977111117893"/>
    <pageSetUpPr fitToPage="1"/>
  </sheetPr>
  <dimension ref="A1:CB163"/>
  <sheetViews>
    <sheetView zoomScaleNormal="100" workbookViewId="0">
      <pane ySplit="4" topLeftCell="A47" activePane="bottomLeft" state="frozen"/>
      <selection activeCell="B2" sqref="B2"/>
      <selection pane="bottomLeft" activeCell="J53" sqref="J53:M53"/>
    </sheetView>
  </sheetViews>
  <sheetFormatPr defaultColWidth="11.42578125" defaultRowHeight="12.75"/>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c r="A2" s="807"/>
      <c r="B2" s="1404" t="str">
        <f>Translations!$B$750</f>
        <v>G. Data Gaps (Duomenų spragos)</v>
      </c>
      <c r="C2" s="1574"/>
      <c r="D2" s="1575"/>
      <c r="E2" s="1386" t="str">
        <f>Translations!$B$23</f>
        <v>Naršymo laukas</v>
      </c>
      <c r="F2" s="1364"/>
      <c r="G2" s="1366" t="str">
        <f>Translations!$B$24</f>
        <v>Turinys</v>
      </c>
      <c r="H2" s="1367"/>
      <c r="I2" s="1366" t="str">
        <f>Translations!$B$25</f>
        <v>Ankstesnis lapas</v>
      </c>
      <c r="J2" s="1367"/>
      <c r="K2" s="1366" t="str">
        <f>Translations!$B$26</f>
        <v>Kitas lapas</v>
      </c>
      <c r="L2" s="1367"/>
      <c r="M2" s="1366"/>
      <c r="N2" s="1367"/>
      <c r="O2" s="864"/>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c r="A3" s="807"/>
      <c r="B3" s="1576"/>
      <c r="C3" s="1577"/>
      <c r="D3" s="1578"/>
      <c r="E3" s="1359" t="str">
        <f>Translations!$B$27</f>
        <v>Lapo viršus</v>
      </c>
      <c r="F3" s="1359"/>
      <c r="G3" s="1359"/>
      <c r="H3" s="1359"/>
      <c r="I3" s="1359"/>
      <c r="J3" s="1359"/>
      <c r="K3" s="1359"/>
      <c r="L3" s="1359"/>
      <c r="M3" s="1359"/>
      <c r="N3" s="1359"/>
      <c r="O3" s="732"/>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c r="A4" s="807"/>
      <c r="B4" s="1579"/>
      <c r="C4" s="1580"/>
      <c r="D4" s="1581"/>
      <c r="E4" s="1359" t="str">
        <f>Translations!$B$28</f>
        <v>Lapo galas</v>
      </c>
      <c r="F4" s="1359"/>
      <c r="G4" s="1570"/>
      <c r="H4" s="1362"/>
      <c r="I4" s="1359"/>
      <c r="J4" s="1359"/>
      <c r="K4" s="1359"/>
      <c r="L4" s="1359"/>
      <c r="M4" s="1359"/>
      <c r="N4" s="1359"/>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c r="A5" s="781"/>
      <c r="B5" s="789"/>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c r="A6" s="808"/>
      <c r="B6" s="790"/>
      <c r="C6" s="1398" t="str">
        <f>Translations!$B$750</f>
        <v>G. Data Gaps (Duomenų spragos)</v>
      </c>
      <c r="D6" s="1398"/>
      <c r="E6" s="1398"/>
      <c r="F6" s="1398"/>
      <c r="G6" s="1398"/>
      <c r="H6" s="1398"/>
      <c r="I6" s="1398"/>
      <c r="J6" s="1398"/>
      <c r="K6" s="1398"/>
      <c r="L6" s="206"/>
      <c r="M6" s="206"/>
      <c r="N6" s="206"/>
      <c r="O6" s="733"/>
      <c r="P6" s="15"/>
      <c r="Q6" s="392"/>
      <c r="R6" s="392"/>
      <c r="S6" s="392"/>
      <c r="T6" s="392"/>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c r="A7" s="781"/>
      <c r="B7" s="791"/>
      <c r="C7" s="166"/>
      <c r="D7" s="206"/>
      <c r="E7" s="166"/>
      <c r="F7" s="206"/>
      <c r="G7" s="206"/>
      <c r="H7" s="206"/>
      <c r="I7" s="206"/>
      <c r="J7" s="206"/>
      <c r="K7" s="206"/>
      <c r="L7" s="206"/>
      <c r="M7" s="206"/>
      <c r="N7" s="206"/>
      <c r="O7" s="734"/>
      <c r="P7" s="56"/>
      <c r="Q7" s="392"/>
      <c r="R7" s="392"/>
      <c r="S7" s="392"/>
      <c r="T7" s="392"/>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c r="A8" s="808"/>
      <c r="B8" s="842"/>
      <c r="C8" s="717">
        <v>13</v>
      </c>
      <c r="D8" s="1512" t="str">
        <f>Translations!$B$751</f>
        <v>Ataskaitiniais metais nustatytos duomenų spragos</v>
      </c>
      <c r="E8" s="1512"/>
      <c r="F8" s="1512"/>
      <c r="G8" s="1512"/>
      <c r="H8" s="1512"/>
      <c r="I8" s="1512"/>
      <c r="J8" s="1512"/>
      <c r="K8" s="1512"/>
      <c r="L8" s="1512"/>
      <c r="M8" s="1512"/>
      <c r="N8" s="1512"/>
      <c r="O8" s="735"/>
      <c r="P8" s="392"/>
      <c r="Q8" s="392"/>
      <c r="R8" s="392"/>
      <c r="S8" s="392"/>
      <c r="T8" s="392"/>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c r="A9" s="781"/>
      <c r="B9" s="793"/>
      <c r="D9" s="9"/>
      <c r="E9" s="496"/>
      <c r="G9" s="11"/>
      <c r="H9" s="11"/>
      <c r="I9" s="11"/>
      <c r="J9" s="11"/>
      <c r="L9" s="11"/>
      <c r="M9" s="11"/>
      <c r="N9" s="11"/>
      <c r="O9" s="736"/>
      <c r="P9" s="392"/>
      <c r="Q9" s="392"/>
      <c r="R9" s="392"/>
      <c r="S9" s="392"/>
      <c r="T9" s="392"/>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1" customFormat="1" ht="15" customHeight="1">
      <c r="A10" s="809"/>
      <c r="B10" s="837"/>
      <c r="C10" s="142"/>
      <c r="D10" s="810"/>
      <c r="E10" s="1568" t="str">
        <f>Translations!$B$621</f>
        <v>Santrumpos:</v>
      </c>
      <c r="F10" s="1568"/>
      <c r="G10" s="1568"/>
      <c r="H10" s="1568"/>
      <c r="I10" s="1568"/>
      <c r="J10" s="1568"/>
      <c r="K10" s="1568"/>
      <c r="L10" s="1568"/>
      <c r="M10" s="1568"/>
      <c r="N10" s="1568"/>
      <c r="O10" s="737"/>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c r="A11" s="781"/>
      <c r="B11" s="791"/>
      <c r="C11" s="166"/>
      <c r="D11" s="206"/>
      <c r="E11" s="237" t="str">
        <f>Translations!$B$752</f>
        <v>Sukėliklio pavadinimas arba kitoks identifikatorius</v>
      </c>
      <c r="F11" s="156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7"/>
      <c r="H11" s="1567"/>
      <c r="I11" s="1567"/>
      <c r="J11" s="1567"/>
      <c r="K11" s="1567"/>
      <c r="L11" s="1567"/>
      <c r="M11" s="1567"/>
      <c r="N11" s="1567"/>
      <c r="O11" s="738"/>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c r="A12" s="781"/>
      <c r="B12" s="791"/>
      <c r="C12" s="166"/>
      <c r="D12" s="206"/>
      <c r="E12" s="237" t="str">
        <f>Translations!$B$754</f>
        <v>Taršos šaltinio pavadinimas arba kitoks identifikatorius</v>
      </c>
      <c r="F12" s="156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7"/>
      <c r="H12" s="1567"/>
      <c r="I12" s="1567"/>
      <c r="J12" s="1567"/>
      <c r="K12" s="1567"/>
      <c r="L12" s="1567"/>
      <c r="M12" s="1567"/>
      <c r="N12" s="1567"/>
      <c r="O12" s="738"/>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c r="A13" s="781"/>
      <c r="B13" s="791"/>
      <c r="C13" s="166"/>
      <c r="D13" s="206"/>
      <c r="E13" s="237" t="str">
        <f>Translations!$B$756</f>
        <v>nuo/iki</v>
      </c>
      <c r="F13" s="1567" t="str">
        <f>Translations!$B$757</f>
        <v>Įveskite kiekvienos duomenų spragos pradžios ir pabaigos datą.</v>
      </c>
      <c r="G13" s="1567"/>
      <c r="H13" s="1567"/>
      <c r="I13" s="1567"/>
      <c r="J13" s="1567"/>
      <c r="K13" s="1567"/>
      <c r="L13" s="1567"/>
      <c r="M13" s="1567"/>
      <c r="N13" s="1567"/>
      <c r="O13" s="738"/>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c r="A14" s="811"/>
      <c r="B14" s="789"/>
      <c r="C14" s="166"/>
      <c r="D14" s="5"/>
      <c r="E14" s="1597" t="str">
        <f>Translations!$B$758</f>
        <v>Aprašas, priežastys ir metodai</v>
      </c>
      <c r="F14" s="1554"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4"/>
      <c r="H14" s="1554"/>
      <c r="I14" s="1554"/>
      <c r="J14" s="1554"/>
      <c r="K14" s="1554"/>
      <c r="L14" s="1554"/>
      <c r="M14" s="1554"/>
      <c r="N14" s="1554"/>
      <c r="O14" s="739"/>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c r="A15" s="811"/>
      <c r="B15" s="789"/>
      <c r="C15" s="166"/>
      <c r="D15" s="5"/>
      <c r="E15" s="1598"/>
      <c r="F15" s="155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52"/>
      <c r="H15" s="1552"/>
      <c r="I15" s="1552"/>
      <c r="J15" s="1552"/>
      <c r="K15" s="1552"/>
      <c r="L15" s="1552"/>
      <c r="M15" s="1552"/>
      <c r="N15" s="1552"/>
      <c r="O15" s="739"/>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c r="A16" s="781"/>
      <c r="B16" s="791"/>
      <c r="C16" s="166"/>
      <c r="D16" s="206"/>
      <c r="E16" s="238" t="str">
        <f>Translations!$B$761</f>
        <v>Apytiksliai nustatytas išmetamųjų ŠESD kiekis</v>
      </c>
      <c r="F16" s="1554"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4"/>
      <c r="H16" s="1554"/>
      <c r="I16" s="1554"/>
      <c r="J16" s="1554"/>
      <c r="K16" s="1554"/>
      <c r="L16" s="1554"/>
      <c r="M16" s="1554"/>
      <c r="N16" s="1554"/>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c r="A17" s="781"/>
      <c r="B17" s="791"/>
      <c r="C17" s="166"/>
      <c r="D17" s="206"/>
      <c r="E17" s="236"/>
      <c r="F17" s="155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52"/>
      <c r="H17" s="1552"/>
      <c r="I17" s="1552"/>
      <c r="J17" s="1552"/>
      <c r="K17" s="1552"/>
      <c r="L17" s="1552"/>
      <c r="M17" s="1552"/>
      <c r="N17" s="1552"/>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c r="A18" s="781"/>
      <c r="B18" s="793"/>
      <c r="C18" s="499"/>
      <c r="D18" s="37"/>
      <c r="E18" s="501"/>
      <c r="F18" s="36"/>
      <c r="G18" s="39"/>
      <c r="H18" s="39"/>
      <c r="I18" s="39"/>
      <c r="J18" s="39"/>
      <c r="K18" s="39"/>
      <c r="L18" s="39"/>
      <c r="M18" s="39"/>
      <c r="N18" s="39"/>
      <c r="O18" s="736"/>
      <c r="P18" s="392"/>
      <c r="Q18" s="392"/>
      <c r="R18" s="392"/>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c r="A19" s="813"/>
      <c r="B19" s="838"/>
      <c r="C19" s="495"/>
      <c r="D19" s="180"/>
      <c r="E19" s="496"/>
      <c r="F19" s="495"/>
      <c r="G19" s="487"/>
      <c r="H19" s="487"/>
      <c r="I19" s="487"/>
      <c r="J19" s="487"/>
      <c r="K19" s="495"/>
      <c r="L19" s="487"/>
      <c r="M19" s="487"/>
      <c r="N19" s="487"/>
      <c r="O19" s="740"/>
      <c r="P19" s="494"/>
      <c r="Q19" s="494"/>
      <c r="R19" s="494"/>
      <c r="S19" s="23"/>
      <c r="T19" s="23"/>
      <c r="U19" s="23"/>
      <c r="V19" s="23"/>
      <c r="W19" s="56"/>
      <c r="X19" s="56"/>
      <c r="Y19" s="56"/>
      <c r="Z19" s="58"/>
      <c r="AA19" s="58"/>
      <c r="AB19" s="58"/>
      <c r="AC19" s="58"/>
      <c r="AD19" s="58"/>
      <c r="AE19" s="58"/>
      <c r="AF19" s="58"/>
      <c r="AG19" s="58"/>
      <c r="AH19" s="58"/>
      <c r="AI19" s="58"/>
      <c r="AJ19" s="58"/>
      <c r="AK19" s="491"/>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3"/>
    </row>
    <row r="20" spans="1:78" s="28" customFormat="1" ht="38.85" customHeight="1">
      <c r="A20" s="813"/>
      <c r="B20" s="838"/>
      <c r="C20" s="495"/>
      <c r="D20" s="1653" t="str">
        <f>Translations!$B$752</f>
        <v>Sukėliklio pavadinimas arba kitoks identifikatorius</v>
      </c>
      <c r="E20" s="1653"/>
      <c r="F20" s="1653"/>
      <c r="G20" s="1653"/>
      <c r="H20" s="888" t="str">
        <f>Translations!$B$764</f>
        <v>nuo</v>
      </c>
      <c r="I20" s="888" t="str">
        <f>Translations!$B$765</f>
        <v>iki</v>
      </c>
      <c r="J20" s="1654" t="str">
        <f>Translations!$B$758</f>
        <v>Aprašas, priežastys ir metodai</v>
      </c>
      <c r="K20" s="1654"/>
      <c r="L20" s="1654"/>
      <c r="M20" s="1654"/>
      <c r="N20" s="1027" t="str">
        <f>Translations!$B$766</f>
        <v>Apytiksliai nustatytas išmetamųjų ŠESD kiekis 
(CO2(e) tonos)</v>
      </c>
      <c r="O20" s="740"/>
      <c r="P20" s="494"/>
      <c r="Q20" s="494"/>
      <c r="R20" s="494"/>
      <c r="S20" s="23"/>
      <c r="T20" s="505"/>
      <c r="U20" s="1028"/>
      <c r="V20" s="78"/>
      <c r="W20" s="56"/>
      <c r="X20" s="56"/>
      <c r="Y20" s="56"/>
      <c r="Z20" s="58"/>
      <c r="AA20" s="58"/>
      <c r="AB20" s="58"/>
      <c r="AC20" s="58"/>
      <c r="AD20" s="58"/>
      <c r="AE20" s="58"/>
      <c r="AF20" s="58"/>
      <c r="AG20" s="58"/>
      <c r="AH20" s="58"/>
      <c r="AI20" s="58"/>
      <c r="AJ20" s="58"/>
      <c r="AK20" s="491"/>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3"/>
    </row>
    <row r="21" spans="1:78" s="28" customFormat="1" ht="12.75" customHeight="1">
      <c r="A21" s="813"/>
      <c r="B21" s="838"/>
      <c r="C21" s="495">
        <v>1</v>
      </c>
      <c r="D21" s="1655"/>
      <c r="E21" s="1655"/>
      <c r="F21" s="1655"/>
      <c r="G21" s="1655"/>
      <c r="H21" s="1062"/>
      <c r="I21" s="1062"/>
      <c r="J21" s="1656" t="s">
        <v>1829</v>
      </c>
      <c r="K21" s="1656"/>
      <c r="L21" s="1656"/>
      <c r="M21" s="1657"/>
      <c r="N21" s="1063"/>
      <c r="O21" s="740"/>
      <c r="P21" s="494"/>
      <c r="Q21" s="494"/>
      <c r="R21" s="494"/>
      <c r="S21" s="23"/>
      <c r="T21" s="505"/>
      <c r="U21" s="1028"/>
      <c r="V21" s="78"/>
      <c r="W21" s="56"/>
      <c r="X21" s="56"/>
      <c r="Y21" s="56"/>
      <c r="Z21" s="58"/>
      <c r="AA21" s="58"/>
      <c r="AB21" s="58"/>
      <c r="AC21" s="58"/>
      <c r="AD21" s="58"/>
      <c r="AE21" s="58"/>
      <c r="AF21" s="58"/>
      <c r="AG21" s="58"/>
      <c r="AH21" s="58"/>
      <c r="AI21" s="58"/>
      <c r="AJ21" s="58"/>
      <c r="AK21" s="491"/>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3"/>
    </row>
    <row r="22" spans="1:78" s="28" customFormat="1" ht="12.75" customHeight="1">
      <c r="A22" s="813"/>
      <c r="B22" s="838"/>
      <c r="C22" s="495">
        <v>2</v>
      </c>
      <c r="D22" s="1655"/>
      <c r="E22" s="1655"/>
      <c r="F22" s="1655"/>
      <c r="G22" s="1655"/>
      <c r="H22" s="1062"/>
      <c r="I22" s="1062"/>
      <c r="J22" s="1656"/>
      <c r="K22" s="1656"/>
      <c r="L22" s="1656"/>
      <c r="M22" s="1656"/>
      <c r="N22" s="1063"/>
      <c r="O22" s="740"/>
      <c r="P22" s="494"/>
      <c r="Q22" s="494"/>
      <c r="R22" s="494"/>
      <c r="S22" s="23"/>
      <c r="T22" s="505"/>
      <c r="U22" s="1028"/>
      <c r="V22" s="78"/>
      <c r="W22" s="56"/>
      <c r="X22" s="56"/>
      <c r="Y22" s="56"/>
      <c r="Z22" s="58"/>
      <c r="AA22" s="58"/>
      <c r="AB22" s="58"/>
      <c r="AC22" s="58"/>
      <c r="AD22" s="58"/>
      <c r="AE22" s="58"/>
      <c r="AF22" s="58"/>
      <c r="AG22" s="58"/>
      <c r="AH22" s="58"/>
      <c r="AI22" s="58"/>
      <c r="AJ22" s="58"/>
      <c r="AK22" s="491"/>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3"/>
    </row>
    <row r="23" spans="1:78" s="28" customFormat="1" ht="12.75" customHeight="1">
      <c r="A23" s="813"/>
      <c r="B23" s="838"/>
      <c r="C23" s="495">
        <v>3</v>
      </c>
      <c r="D23" s="1655"/>
      <c r="E23" s="1655"/>
      <c r="F23" s="1655"/>
      <c r="G23" s="1655"/>
      <c r="H23" s="1062"/>
      <c r="I23" s="1062"/>
      <c r="J23" s="1656"/>
      <c r="K23" s="1656"/>
      <c r="L23" s="1656"/>
      <c r="M23" s="1656"/>
      <c r="N23" s="1063"/>
      <c r="O23" s="740"/>
      <c r="P23" s="494"/>
      <c r="Q23" s="494"/>
      <c r="R23" s="494"/>
      <c r="S23" s="23"/>
      <c r="T23" s="505"/>
      <c r="U23" s="1028"/>
      <c r="V23" s="78"/>
      <c r="W23" s="56"/>
      <c r="X23" s="56"/>
      <c r="Y23" s="56"/>
      <c r="Z23" s="58"/>
      <c r="AA23" s="58"/>
      <c r="AB23" s="58"/>
      <c r="AC23" s="58"/>
      <c r="AD23" s="58"/>
      <c r="AE23" s="58"/>
      <c r="AF23" s="58"/>
      <c r="AG23" s="58"/>
      <c r="AH23" s="58"/>
      <c r="AI23" s="58"/>
      <c r="AJ23" s="58"/>
      <c r="AK23" s="491"/>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3"/>
    </row>
    <row r="24" spans="1:78" s="28" customFormat="1" ht="12.75" customHeight="1">
      <c r="A24" s="813"/>
      <c r="B24" s="838"/>
      <c r="C24" s="495">
        <v>4</v>
      </c>
      <c r="D24" s="1655"/>
      <c r="E24" s="1655"/>
      <c r="F24" s="1655"/>
      <c r="G24" s="1655"/>
      <c r="H24" s="1062"/>
      <c r="I24" s="1062"/>
      <c r="J24" s="1656"/>
      <c r="K24" s="1656"/>
      <c r="L24" s="1656"/>
      <c r="M24" s="1656"/>
      <c r="N24" s="1063"/>
      <c r="O24" s="740"/>
      <c r="P24" s="494"/>
      <c r="Q24" s="494"/>
      <c r="R24" s="494"/>
      <c r="S24" s="23"/>
      <c r="T24" s="505"/>
      <c r="U24" s="1028"/>
      <c r="V24" s="78"/>
      <c r="W24" s="56"/>
      <c r="X24" s="56"/>
      <c r="Y24" s="56"/>
      <c r="Z24" s="58"/>
      <c r="AA24" s="58"/>
      <c r="AB24" s="58"/>
      <c r="AC24" s="58"/>
      <c r="AD24" s="58"/>
      <c r="AE24" s="58"/>
      <c r="AF24" s="58"/>
      <c r="AG24" s="58"/>
      <c r="AH24" s="58"/>
      <c r="AI24" s="58"/>
      <c r="AJ24" s="58"/>
      <c r="AK24" s="491"/>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3"/>
    </row>
    <row r="25" spans="1:78" s="28" customFormat="1" ht="12.75" customHeight="1">
      <c r="A25" s="813"/>
      <c r="B25" s="838"/>
      <c r="C25" s="495">
        <v>5</v>
      </c>
      <c r="D25" s="1655"/>
      <c r="E25" s="1655"/>
      <c r="F25" s="1655"/>
      <c r="G25" s="1655"/>
      <c r="H25" s="1062"/>
      <c r="I25" s="1062"/>
      <c r="J25" s="1656"/>
      <c r="K25" s="1656"/>
      <c r="L25" s="1656"/>
      <c r="M25" s="1656"/>
      <c r="N25" s="1063"/>
      <c r="O25" s="740"/>
      <c r="P25" s="494"/>
      <c r="Q25" s="494"/>
      <c r="R25" s="494"/>
      <c r="S25" s="23"/>
      <c r="T25" s="505"/>
      <c r="U25" s="1028"/>
      <c r="V25" s="78"/>
      <c r="W25" s="56"/>
      <c r="X25" s="56"/>
      <c r="Y25" s="56"/>
      <c r="Z25" s="58"/>
      <c r="AA25" s="58"/>
      <c r="AB25" s="58"/>
      <c r="AC25" s="58"/>
      <c r="AD25" s="58"/>
      <c r="AE25" s="58"/>
      <c r="AF25" s="58"/>
      <c r="AG25" s="58"/>
      <c r="AH25" s="58"/>
      <c r="AI25" s="58"/>
      <c r="AJ25" s="58"/>
      <c r="AK25" s="491"/>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3"/>
    </row>
    <row r="26" spans="1:78" s="28" customFormat="1" ht="12.75" customHeight="1">
      <c r="A26" s="813"/>
      <c r="B26" s="838"/>
      <c r="C26" s="495">
        <v>6</v>
      </c>
      <c r="D26" s="1655"/>
      <c r="E26" s="1655"/>
      <c r="F26" s="1655"/>
      <c r="G26" s="1655"/>
      <c r="H26" s="1062"/>
      <c r="I26" s="1062"/>
      <c r="J26" s="1656"/>
      <c r="K26" s="1656"/>
      <c r="L26" s="1656"/>
      <c r="M26" s="1656"/>
      <c r="N26" s="1063"/>
      <c r="O26" s="740"/>
      <c r="P26" s="494"/>
      <c r="Q26" s="494"/>
      <c r="R26" s="494"/>
      <c r="S26" s="23"/>
      <c r="T26" s="505"/>
      <c r="U26" s="1028"/>
      <c r="V26" s="78"/>
      <c r="W26" s="56"/>
      <c r="X26" s="56"/>
      <c r="Y26" s="56"/>
      <c r="Z26" s="58"/>
      <c r="AA26" s="58"/>
      <c r="AB26" s="58"/>
      <c r="AC26" s="58"/>
      <c r="AD26" s="58"/>
      <c r="AE26" s="58"/>
      <c r="AF26" s="58"/>
      <c r="AG26" s="58"/>
      <c r="AH26" s="58"/>
      <c r="AI26" s="58"/>
      <c r="AJ26" s="58"/>
      <c r="AK26" s="491"/>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3"/>
    </row>
    <row r="27" spans="1:78" s="28" customFormat="1" ht="12.75" customHeight="1">
      <c r="A27" s="813"/>
      <c r="B27" s="838"/>
      <c r="C27" s="495">
        <v>7</v>
      </c>
      <c r="D27" s="1655"/>
      <c r="E27" s="1655"/>
      <c r="F27" s="1655"/>
      <c r="G27" s="1655"/>
      <c r="H27" s="1062"/>
      <c r="I27" s="1062"/>
      <c r="J27" s="1656"/>
      <c r="K27" s="1656"/>
      <c r="L27" s="1656"/>
      <c r="M27" s="1656"/>
      <c r="N27" s="1063"/>
      <c r="O27" s="740"/>
      <c r="P27" s="494"/>
      <c r="Q27" s="494"/>
      <c r="R27" s="494"/>
      <c r="S27" s="23"/>
      <c r="T27" s="505"/>
      <c r="U27" s="1028"/>
      <c r="V27" s="78"/>
      <c r="W27" s="56"/>
      <c r="X27" s="56"/>
      <c r="Y27" s="56"/>
      <c r="Z27" s="58"/>
      <c r="AA27" s="58"/>
      <c r="AB27" s="58"/>
      <c r="AC27" s="58"/>
      <c r="AD27" s="58"/>
      <c r="AE27" s="58"/>
      <c r="AF27" s="58"/>
      <c r="AG27" s="58"/>
      <c r="AH27" s="58"/>
      <c r="AI27" s="58"/>
      <c r="AJ27" s="58"/>
      <c r="AK27" s="491"/>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3"/>
    </row>
    <row r="28" spans="1:78" s="28" customFormat="1" ht="12.75" customHeight="1">
      <c r="A28" s="813"/>
      <c r="B28" s="838"/>
      <c r="C28" s="495">
        <v>8</v>
      </c>
      <c r="D28" s="1655"/>
      <c r="E28" s="1655"/>
      <c r="F28" s="1655"/>
      <c r="G28" s="1655"/>
      <c r="H28" s="1062"/>
      <c r="I28" s="1062"/>
      <c r="J28" s="1656"/>
      <c r="K28" s="1656"/>
      <c r="L28" s="1656"/>
      <c r="M28" s="1656"/>
      <c r="N28" s="1063"/>
      <c r="O28" s="740"/>
      <c r="P28" s="494"/>
      <c r="Q28" s="494"/>
      <c r="R28" s="494"/>
      <c r="S28" s="23"/>
      <c r="T28" s="505"/>
      <c r="U28" s="1028"/>
      <c r="V28" s="78"/>
      <c r="W28" s="56"/>
      <c r="X28" s="56"/>
      <c r="Y28" s="56"/>
      <c r="Z28" s="58"/>
      <c r="AA28" s="58"/>
      <c r="AB28" s="58"/>
      <c r="AC28" s="58"/>
      <c r="AD28" s="58"/>
      <c r="AE28" s="58"/>
      <c r="AF28" s="58"/>
      <c r="AG28" s="58"/>
      <c r="AH28" s="58"/>
      <c r="AI28" s="58"/>
      <c r="AJ28" s="58"/>
      <c r="AK28" s="491"/>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3"/>
    </row>
    <row r="29" spans="1:78" s="28" customFormat="1" ht="12.75" customHeight="1">
      <c r="A29" s="813"/>
      <c r="B29" s="838"/>
      <c r="C29" s="495">
        <v>9</v>
      </c>
      <c r="D29" s="1655"/>
      <c r="E29" s="1655"/>
      <c r="F29" s="1655"/>
      <c r="G29" s="1655"/>
      <c r="H29" s="1062"/>
      <c r="I29" s="1062"/>
      <c r="J29" s="1656"/>
      <c r="K29" s="1656"/>
      <c r="L29" s="1656"/>
      <c r="M29" s="1656"/>
      <c r="N29" s="1063"/>
      <c r="O29" s="740"/>
      <c r="P29" s="494"/>
      <c r="Q29" s="494"/>
      <c r="R29" s="494"/>
      <c r="S29" s="23"/>
      <c r="T29" s="505"/>
      <c r="U29" s="1028"/>
      <c r="V29" s="78"/>
      <c r="W29" s="56"/>
      <c r="X29" s="56"/>
      <c r="Y29" s="56"/>
      <c r="Z29" s="58"/>
      <c r="AA29" s="58"/>
      <c r="AB29" s="58"/>
      <c r="AC29" s="58"/>
      <c r="AD29" s="58"/>
      <c r="AE29" s="58"/>
      <c r="AF29" s="58"/>
      <c r="AG29" s="58"/>
      <c r="AH29" s="58"/>
      <c r="AI29" s="58"/>
      <c r="AJ29" s="58"/>
      <c r="AK29" s="491"/>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3"/>
    </row>
    <row r="30" spans="1:78" s="28" customFormat="1" ht="12.75" customHeight="1">
      <c r="A30" s="813"/>
      <c r="B30" s="838"/>
      <c r="C30" s="495">
        <v>10</v>
      </c>
      <c r="D30" s="1655"/>
      <c r="E30" s="1655"/>
      <c r="F30" s="1655"/>
      <c r="G30" s="1655"/>
      <c r="H30" s="1062"/>
      <c r="I30" s="1062"/>
      <c r="J30" s="1656"/>
      <c r="K30" s="1656"/>
      <c r="L30" s="1656"/>
      <c r="M30" s="1656"/>
      <c r="N30" s="1063"/>
      <c r="O30" s="740"/>
      <c r="P30" s="494"/>
      <c r="Q30" s="494"/>
      <c r="R30" s="494"/>
      <c r="S30" s="23"/>
      <c r="T30" s="505"/>
      <c r="U30" s="1028"/>
      <c r="V30" s="78"/>
      <c r="W30" s="56"/>
      <c r="X30" s="56"/>
      <c r="Y30" s="56"/>
      <c r="Z30" s="58"/>
      <c r="AA30" s="58"/>
      <c r="AB30" s="58"/>
      <c r="AC30" s="58"/>
      <c r="AD30" s="58"/>
      <c r="AE30" s="58"/>
      <c r="AF30" s="58"/>
      <c r="AG30" s="58"/>
      <c r="AH30" s="58"/>
      <c r="AI30" s="58"/>
      <c r="AJ30" s="58"/>
      <c r="AK30" s="491"/>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3"/>
    </row>
    <row r="31" spans="1:78" s="28" customFormat="1" ht="12.75" customHeight="1">
      <c r="A31" s="813"/>
      <c r="B31" s="838"/>
      <c r="C31" s="495">
        <v>11</v>
      </c>
      <c r="D31" s="1655"/>
      <c r="E31" s="1655"/>
      <c r="F31" s="1655"/>
      <c r="G31" s="1655"/>
      <c r="H31" s="1062"/>
      <c r="I31" s="1062"/>
      <c r="J31" s="1656"/>
      <c r="K31" s="1656"/>
      <c r="L31" s="1656"/>
      <c r="M31" s="1656"/>
      <c r="N31" s="1063"/>
      <c r="O31" s="740"/>
      <c r="P31" s="494"/>
      <c r="Q31" s="494"/>
      <c r="R31" s="494"/>
      <c r="S31" s="23"/>
      <c r="T31" s="505"/>
      <c r="U31" s="1028"/>
      <c r="V31" s="78"/>
      <c r="W31" s="56"/>
      <c r="X31" s="56"/>
      <c r="Y31" s="56"/>
      <c r="Z31" s="58"/>
      <c r="AA31" s="58"/>
      <c r="AB31" s="58"/>
      <c r="AC31" s="58"/>
      <c r="AD31" s="58"/>
      <c r="AE31" s="58"/>
      <c r="AF31" s="58"/>
      <c r="AG31" s="58"/>
      <c r="AH31" s="58"/>
      <c r="AI31" s="58"/>
      <c r="AJ31" s="58"/>
      <c r="AK31" s="491"/>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3"/>
    </row>
    <row r="32" spans="1:78" s="28" customFormat="1" ht="12.75" customHeight="1">
      <c r="A32" s="813"/>
      <c r="B32" s="838"/>
      <c r="C32" s="495">
        <v>12</v>
      </c>
      <c r="D32" s="1655"/>
      <c r="E32" s="1655"/>
      <c r="F32" s="1655"/>
      <c r="G32" s="1655"/>
      <c r="H32" s="1062"/>
      <c r="I32" s="1062"/>
      <c r="J32" s="1656"/>
      <c r="K32" s="1656"/>
      <c r="L32" s="1656"/>
      <c r="M32" s="1656"/>
      <c r="N32" s="1063"/>
      <c r="O32" s="740"/>
      <c r="P32" s="494"/>
      <c r="Q32" s="494"/>
      <c r="R32" s="494"/>
      <c r="S32" s="23"/>
      <c r="T32" s="505"/>
      <c r="U32" s="1028"/>
      <c r="V32" s="78"/>
      <c r="W32" s="56"/>
      <c r="X32" s="56"/>
      <c r="Y32" s="56"/>
      <c r="Z32" s="58"/>
      <c r="AA32" s="58"/>
      <c r="AB32" s="58"/>
      <c r="AC32" s="58"/>
      <c r="AD32" s="58"/>
      <c r="AE32" s="58"/>
      <c r="AF32" s="58"/>
      <c r="AG32" s="58"/>
      <c r="AH32" s="58"/>
      <c r="AI32" s="58"/>
      <c r="AJ32" s="58"/>
      <c r="AK32" s="491"/>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3"/>
    </row>
    <row r="33" spans="1:78" s="28" customFormat="1" ht="12.75" customHeight="1">
      <c r="A33" s="813"/>
      <c r="B33" s="838"/>
      <c r="C33" s="495">
        <v>13</v>
      </c>
      <c r="D33" s="1655"/>
      <c r="E33" s="1655"/>
      <c r="F33" s="1655"/>
      <c r="G33" s="1655"/>
      <c r="H33" s="1062"/>
      <c r="I33" s="1062"/>
      <c r="J33" s="1656"/>
      <c r="K33" s="1656"/>
      <c r="L33" s="1656"/>
      <c r="M33" s="1656"/>
      <c r="N33" s="1063"/>
      <c r="O33" s="740"/>
      <c r="P33" s="494"/>
      <c r="Q33" s="494"/>
      <c r="R33" s="494"/>
      <c r="S33" s="23"/>
      <c r="T33" s="505"/>
      <c r="U33" s="1028"/>
      <c r="V33" s="78"/>
      <c r="W33" s="56"/>
      <c r="X33" s="56"/>
      <c r="Y33" s="56"/>
      <c r="Z33" s="58"/>
      <c r="AA33" s="58"/>
      <c r="AB33" s="58"/>
      <c r="AC33" s="58"/>
      <c r="AD33" s="58"/>
      <c r="AE33" s="58"/>
      <c r="AF33" s="58"/>
      <c r="AG33" s="58"/>
      <c r="AH33" s="58"/>
      <c r="AI33" s="58"/>
      <c r="AJ33" s="58"/>
      <c r="AK33" s="491"/>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3"/>
    </row>
    <row r="34" spans="1:78" s="28" customFormat="1" ht="12.75" customHeight="1">
      <c r="A34" s="813"/>
      <c r="B34" s="838"/>
      <c r="C34" s="495">
        <v>14</v>
      </c>
      <c r="D34" s="1655"/>
      <c r="E34" s="1655"/>
      <c r="F34" s="1655"/>
      <c r="G34" s="1655"/>
      <c r="H34" s="1062"/>
      <c r="I34" s="1062"/>
      <c r="J34" s="1656"/>
      <c r="K34" s="1656"/>
      <c r="L34" s="1656"/>
      <c r="M34" s="1656"/>
      <c r="N34" s="1063"/>
      <c r="O34" s="740"/>
      <c r="P34" s="494"/>
      <c r="Q34" s="494"/>
      <c r="R34" s="494"/>
      <c r="S34" s="23"/>
      <c r="T34" s="505"/>
      <c r="U34" s="1028"/>
      <c r="V34" s="78"/>
      <c r="W34" s="56"/>
      <c r="X34" s="56"/>
      <c r="Y34" s="56"/>
      <c r="Z34" s="58"/>
      <c r="AA34" s="58"/>
      <c r="AB34" s="58"/>
      <c r="AC34" s="58"/>
      <c r="AD34" s="58"/>
      <c r="AE34" s="58"/>
      <c r="AF34" s="58"/>
      <c r="AG34" s="58"/>
      <c r="AH34" s="58"/>
      <c r="AI34" s="58"/>
      <c r="AJ34" s="58"/>
      <c r="AK34" s="491"/>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3"/>
    </row>
    <row r="35" spans="1:78" s="28" customFormat="1" ht="12.75" customHeight="1">
      <c r="A35" s="813"/>
      <c r="B35" s="838"/>
      <c r="C35" s="495">
        <v>15</v>
      </c>
      <c r="D35" s="1655"/>
      <c r="E35" s="1655"/>
      <c r="F35" s="1655"/>
      <c r="G35" s="1655"/>
      <c r="H35" s="1062"/>
      <c r="I35" s="1062"/>
      <c r="J35" s="1656"/>
      <c r="K35" s="1656"/>
      <c r="L35" s="1656"/>
      <c r="M35" s="1656"/>
      <c r="N35" s="1063"/>
      <c r="O35" s="740"/>
      <c r="P35" s="494"/>
      <c r="Q35" s="494"/>
      <c r="R35" s="494"/>
      <c r="S35" s="23"/>
      <c r="T35" s="505"/>
      <c r="U35" s="1028"/>
      <c r="V35" s="78"/>
      <c r="W35" s="56"/>
      <c r="X35" s="56"/>
      <c r="Y35" s="56"/>
      <c r="Z35" s="58"/>
      <c r="AA35" s="58"/>
      <c r="AB35" s="58"/>
      <c r="AC35" s="58"/>
      <c r="AD35" s="58"/>
      <c r="AE35" s="58"/>
      <c r="AF35" s="58"/>
      <c r="AG35" s="58"/>
      <c r="AH35" s="58"/>
      <c r="AI35" s="58"/>
      <c r="AJ35" s="58"/>
      <c r="AK35" s="491"/>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3"/>
    </row>
    <row r="36" spans="1:78" s="28" customFormat="1" ht="12.75" customHeight="1">
      <c r="A36" s="813"/>
      <c r="B36" s="838"/>
      <c r="C36" s="495">
        <v>16</v>
      </c>
      <c r="D36" s="1655"/>
      <c r="E36" s="1655"/>
      <c r="F36" s="1655"/>
      <c r="G36" s="1655"/>
      <c r="H36" s="1062"/>
      <c r="I36" s="1062"/>
      <c r="J36" s="1656"/>
      <c r="K36" s="1656"/>
      <c r="L36" s="1656"/>
      <c r="M36" s="1656"/>
      <c r="N36" s="1063"/>
      <c r="O36" s="740"/>
      <c r="P36" s="494"/>
      <c r="Q36" s="494"/>
      <c r="R36" s="494"/>
      <c r="S36" s="23"/>
      <c r="T36" s="505"/>
      <c r="U36" s="1028"/>
      <c r="V36" s="78"/>
      <c r="W36" s="56"/>
      <c r="X36" s="56"/>
      <c r="Y36" s="56"/>
      <c r="Z36" s="58"/>
      <c r="AA36" s="58"/>
      <c r="AB36" s="58"/>
      <c r="AC36" s="58"/>
      <c r="AD36" s="58"/>
      <c r="AE36" s="58"/>
      <c r="AF36" s="58"/>
      <c r="AG36" s="58"/>
      <c r="AH36" s="58"/>
      <c r="AI36" s="58"/>
      <c r="AJ36" s="58"/>
      <c r="AK36" s="491"/>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3"/>
    </row>
    <row r="37" spans="1:78" s="28" customFormat="1" ht="12.75" customHeight="1">
      <c r="A37" s="813"/>
      <c r="B37" s="838"/>
      <c r="C37" s="495">
        <v>17</v>
      </c>
      <c r="D37" s="1655"/>
      <c r="E37" s="1655"/>
      <c r="F37" s="1655"/>
      <c r="G37" s="1655"/>
      <c r="H37" s="1062"/>
      <c r="I37" s="1062"/>
      <c r="J37" s="1656"/>
      <c r="K37" s="1656"/>
      <c r="L37" s="1656"/>
      <c r="M37" s="1656"/>
      <c r="N37" s="1063"/>
      <c r="O37" s="740"/>
      <c r="P37" s="494"/>
      <c r="Q37" s="494"/>
      <c r="R37" s="494"/>
      <c r="S37" s="23"/>
      <c r="T37" s="505"/>
      <c r="U37" s="1028"/>
      <c r="V37" s="78"/>
      <c r="W37" s="56"/>
      <c r="X37" s="56"/>
      <c r="Y37" s="56"/>
      <c r="Z37" s="58"/>
      <c r="AA37" s="58"/>
      <c r="AB37" s="58"/>
      <c r="AC37" s="58"/>
      <c r="AD37" s="58"/>
      <c r="AE37" s="58"/>
      <c r="AF37" s="58"/>
      <c r="AG37" s="58"/>
      <c r="AH37" s="58"/>
      <c r="AI37" s="58"/>
      <c r="AJ37" s="58"/>
      <c r="AK37" s="491"/>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3"/>
    </row>
    <row r="38" spans="1:78" s="28" customFormat="1" ht="12.75" customHeight="1">
      <c r="A38" s="813"/>
      <c r="B38" s="838"/>
      <c r="C38" s="495">
        <v>18</v>
      </c>
      <c r="D38" s="1655"/>
      <c r="E38" s="1655"/>
      <c r="F38" s="1655"/>
      <c r="G38" s="1655"/>
      <c r="H38" s="1062"/>
      <c r="I38" s="1062"/>
      <c r="J38" s="1656"/>
      <c r="K38" s="1656"/>
      <c r="L38" s="1656"/>
      <c r="M38" s="1656"/>
      <c r="N38" s="1063"/>
      <c r="O38" s="740"/>
      <c r="P38" s="494"/>
      <c r="Q38" s="494"/>
      <c r="R38" s="494"/>
      <c r="S38" s="23"/>
      <c r="T38" s="505"/>
      <c r="U38" s="1028"/>
      <c r="V38" s="78"/>
      <c r="W38" s="56"/>
      <c r="X38" s="56"/>
      <c r="Y38" s="56"/>
      <c r="Z38" s="58"/>
      <c r="AA38" s="58"/>
      <c r="AB38" s="58"/>
      <c r="AC38" s="58"/>
      <c r="AD38" s="58"/>
      <c r="AE38" s="58"/>
      <c r="AF38" s="58"/>
      <c r="AG38" s="58"/>
      <c r="AH38" s="58"/>
      <c r="AI38" s="58"/>
      <c r="AJ38" s="58"/>
      <c r="AK38" s="491"/>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3"/>
    </row>
    <row r="39" spans="1:78" s="28" customFormat="1" ht="12.75" customHeight="1">
      <c r="A39" s="813"/>
      <c r="B39" s="838"/>
      <c r="C39" s="495">
        <v>19</v>
      </c>
      <c r="D39" s="1655"/>
      <c r="E39" s="1655"/>
      <c r="F39" s="1655"/>
      <c r="G39" s="1655"/>
      <c r="H39" s="1062"/>
      <c r="I39" s="1062"/>
      <c r="J39" s="1656"/>
      <c r="K39" s="1656"/>
      <c r="L39" s="1656"/>
      <c r="M39" s="1656"/>
      <c r="N39" s="1063"/>
      <c r="O39" s="740"/>
      <c r="P39" s="494"/>
      <c r="Q39" s="494"/>
      <c r="R39" s="494"/>
      <c r="S39" s="23"/>
      <c r="T39" s="505"/>
      <c r="U39" s="1028"/>
      <c r="V39" s="78"/>
      <c r="W39" s="56"/>
      <c r="X39" s="56"/>
      <c r="Y39" s="56"/>
      <c r="Z39" s="58"/>
      <c r="AA39" s="58"/>
      <c r="AB39" s="58"/>
      <c r="AC39" s="58"/>
      <c r="AD39" s="58"/>
      <c r="AE39" s="58"/>
      <c r="AF39" s="58"/>
      <c r="AG39" s="58"/>
      <c r="AH39" s="58"/>
      <c r="AI39" s="58"/>
      <c r="AJ39" s="58"/>
      <c r="AK39" s="491"/>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3"/>
    </row>
    <row r="40" spans="1:78" s="28" customFormat="1" ht="12.75" customHeight="1">
      <c r="A40" s="813"/>
      <c r="B40" s="838"/>
      <c r="C40" s="495">
        <v>20</v>
      </c>
      <c r="D40" s="1655"/>
      <c r="E40" s="1655"/>
      <c r="F40" s="1655"/>
      <c r="G40" s="1655"/>
      <c r="H40" s="1062"/>
      <c r="I40" s="1062"/>
      <c r="J40" s="1656"/>
      <c r="K40" s="1656"/>
      <c r="L40" s="1656"/>
      <c r="M40" s="1656"/>
      <c r="N40" s="1063"/>
      <c r="O40" s="740"/>
      <c r="P40" s="494"/>
      <c r="Q40" s="494"/>
      <c r="R40" s="494"/>
      <c r="S40" s="23"/>
      <c r="T40" s="505"/>
      <c r="U40" s="1028"/>
      <c r="V40" s="78"/>
      <c r="W40" s="56"/>
      <c r="X40" s="56"/>
      <c r="Y40" s="56"/>
      <c r="Z40" s="58"/>
      <c r="AA40" s="58"/>
      <c r="AB40" s="58"/>
      <c r="AC40" s="58"/>
      <c r="AD40" s="58"/>
      <c r="AE40" s="58"/>
      <c r="AF40" s="58"/>
      <c r="AG40" s="58"/>
      <c r="AH40" s="58"/>
      <c r="AI40" s="58"/>
      <c r="AJ40" s="58"/>
      <c r="AK40" s="491"/>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3"/>
    </row>
    <row r="41" spans="1:78" s="28" customFormat="1" ht="12.75" customHeight="1">
      <c r="A41" s="813"/>
      <c r="B41" s="838"/>
      <c r="C41" s="495">
        <v>21</v>
      </c>
      <c r="D41" s="1655"/>
      <c r="E41" s="1655"/>
      <c r="F41" s="1655"/>
      <c r="G41" s="1655"/>
      <c r="H41" s="1062"/>
      <c r="I41" s="1062"/>
      <c r="J41" s="1656"/>
      <c r="K41" s="1656"/>
      <c r="L41" s="1656"/>
      <c r="M41" s="1656"/>
      <c r="N41" s="1063"/>
      <c r="O41" s="740"/>
      <c r="P41" s="494"/>
      <c r="Q41" s="494"/>
      <c r="R41" s="494"/>
      <c r="S41" s="23"/>
      <c r="T41" s="505"/>
      <c r="U41" s="1028"/>
      <c r="V41" s="78"/>
      <c r="W41" s="56"/>
      <c r="X41" s="56"/>
      <c r="Y41" s="56"/>
      <c r="Z41" s="58"/>
      <c r="AA41" s="58"/>
      <c r="AB41" s="58"/>
      <c r="AC41" s="58"/>
      <c r="AD41" s="58"/>
      <c r="AE41" s="58"/>
      <c r="AF41" s="58"/>
      <c r="AG41" s="58"/>
      <c r="AH41" s="58"/>
      <c r="AI41" s="58"/>
      <c r="AJ41" s="58"/>
      <c r="AK41" s="491"/>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3"/>
    </row>
    <row r="42" spans="1:78" s="28" customFormat="1" ht="12.75" customHeight="1">
      <c r="A42" s="813"/>
      <c r="B42" s="838"/>
      <c r="C42" s="495">
        <v>22</v>
      </c>
      <c r="D42" s="1655"/>
      <c r="E42" s="1655"/>
      <c r="F42" s="1655"/>
      <c r="G42" s="1655"/>
      <c r="H42" s="1062"/>
      <c r="I42" s="1062"/>
      <c r="J42" s="1656"/>
      <c r="K42" s="1656"/>
      <c r="L42" s="1656"/>
      <c r="M42" s="1656"/>
      <c r="N42" s="1063"/>
      <c r="O42" s="740"/>
      <c r="P42" s="494"/>
      <c r="Q42" s="494"/>
      <c r="R42" s="494"/>
      <c r="S42" s="23"/>
      <c r="T42" s="505"/>
      <c r="U42" s="1028"/>
      <c r="V42" s="78"/>
      <c r="W42" s="56"/>
      <c r="X42" s="56"/>
      <c r="Y42" s="56"/>
      <c r="Z42" s="58"/>
      <c r="AA42" s="58"/>
      <c r="AB42" s="58"/>
      <c r="AC42" s="58"/>
      <c r="AD42" s="58"/>
      <c r="AE42" s="58"/>
      <c r="AF42" s="58"/>
      <c r="AG42" s="58"/>
      <c r="AH42" s="58"/>
      <c r="AI42" s="58"/>
      <c r="AJ42" s="58"/>
      <c r="AK42" s="491"/>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3"/>
    </row>
    <row r="43" spans="1:78" s="28" customFormat="1" ht="12.75" customHeight="1">
      <c r="A43" s="813"/>
      <c r="B43" s="838"/>
      <c r="C43" s="495">
        <v>23</v>
      </c>
      <c r="D43" s="1655"/>
      <c r="E43" s="1655"/>
      <c r="F43" s="1655"/>
      <c r="G43" s="1655"/>
      <c r="H43" s="1062"/>
      <c r="I43" s="1062"/>
      <c r="J43" s="1656"/>
      <c r="K43" s="1656"/>
      <c r="L43" s="1656"/>
      <c r="M43" s="1656"/>
      <c r="N43" s="1063"/>
      <c r="O43" s="740"/>
      <c r="P43" s="494"/>
      <c r="Q43" s="494"/>
      <c r="R43" s="494"/>
      <c r="S43" s="23"/>
      <c r="T43" s="505"/>
      <c r="U43" s="1028"/>
      <c r="V43" s="78"/>
      <c r="W43" s="56"/>
      <c r="X43" s="56"/>
      <c r="Y43" s="56"/>
      <c r="Z43" s="58"/>
      <c r="AA43" s="58"/>
      <c r="AB43" s="58"/>
      <c r="AC43" s="58"/>
      <c r="AD43" s="58"/>
      <c r="AE43" s="58"/>
      <c r="AF43" s="58"/>
      <c r="AG43" s="58"/>
      <c r="AH43" s="58"/>
      <c r="AI43" s="58"/>
      <c r="AJ43" s="58"/>
      <c r="AK43" s="491"/>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3"/>
    </row>
    <row r="44" spans="1:78" s="28" customFormat="1" ht="12.75" customHeight="1">
      <c r="A44" s="813"/>
      <c r="B44" s="838"/>
      <c r="C44" s="495">
        <v>24</v>
      </c>
      <c r="D44" s="1655"/>
      <c r="E44" s="1655"/>
      <c r="F44" s="1655"/>
      <c r="G44" s="1655"/>
      <c r="H44" s="1062"/>
      <c r="I44" s="1062"/>
      <c r="J44" s="1656"/>
      <c r="K44" s="1656"/>
      <c r="L44" s="1656"/>
      <c r="M44" s="1656"/>
      <c r="N44" s="1063"/>
      <c r="O44" s="740"/>
      <c r="P44" s="494"/>
      <c r="Q44" s="494"/>
      <c r="R44" s="494"/>
      <c r="S44" s="23"/>
      <c r="T44" s="505"/>
      <c r="U44" s="1028"/>
      <c r="V44" s="78"/>
      <c r="W44" s="56"/>
      <c r="X44" s="56"/>
      <c r="Y44" s="56"/>
      <c r="Z44" s="58"/>
      <c r="AA44" s="58"/>
      <c r="AB44" s="58"/>
      <c r="AC44" s="58"/>
      <c r="AD44" s="58"/>
      <c r="AE44" s="58"/>
      <c r="AF44" s="58"/>
      <c r="AG44" s="58"/>
      <c r="AH44" s="58"/>
      <c r="AI44" s="58"/>
      <c r="AJ44" s="58"/>
      <c r="AK44" s="491"/>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3"/>
    </row>
    <row r="45" spans="1:78" s="28" customFormat="1" ht="12.75" customHeight="1">
      <c r="A45" s="813"/>
      <c r="B45" s="838"/>
      <c r="C45" s="495">
        <v>25</v>
      </c>
      <c r="D45" s="1655"/>
      <c r="E45" s="1655"/>
      <c r="F45" s="1655"/>
      <c r="G45" s="1655"/>
      <c r="H45" s="1062"/>
      <c r="I45" s="1062"/>
      <c r="J45" s="1656"/>
      <c r="K45" s="1656"/>
      <c r="L45" s="1656"/>
      <c r="M45" s="1656"/>
      <c r="N45" s="1063"/>
      <c r="O45" s="740"/>
      <c r="P45" s="494"/>
      <c r="Q45" s="494"/>
      <c r="R45" s="494"/>
      <c r="S45" s="23"/>
      <c r="T45" s="505"/>
      <c r="U45" s="1028"/>
      <c r="V45" s="78"/>
      <c r="W45" s="56"/>
      <c r="X45" s="56"/>
      <c r="Y45" s="56"/>
      <c r="Z45" s="58"/>
      <c r="AA45" s="58"/>
      <c r="AB45" s="58"/>
      <c r="AC45" s="58"/>
      <c r="AD45" s="58"/>
      <c r="AE45" s="58"/>
      <c r="AF45" s="58"/>
      <c r="AG45" s="58"/>
      <c r="AH45" s="58"/>
      <c r="AI45" s="58"/>
      <c r="AJ45" s="58"/>
      <c r="AK45" s="491"/>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3"/>
    </row>
    <row r="46" spans="1:78" s="28" customFormat="1" ht="12.75" customHeight="1">
      <c r="A46" s="813"/>
      <c r="B46" s="838"/>
      <c r="C46" s="495">
        <v>26</v>
      </c>
      <c r="D46" s="1655"/>
      <c r="E46" s="1655"/>
      <c r="F46" s="1655"/>
      <c r="G46" s="1655"/>
      <c r="H46" s="1062"/>
      <c r="I46" s="1062"/>
      <c r="J46" s="1656"/>
      <c r="K46" s="1656"/>
      <c r="L46" s="1656"/>
      <c r="M46" s="1656"/>
      <c r="N46" s="1063"/>
      <c r="O46" s="740"/>
      <c r="P46" s="494"/>
      <c r="Q46" s="494"/>
      <c r="R46" s="494"/>
      <c r="S46" s="23"/>
      <c r="T46" s="505"/>
      <c r="U46" s="1028"/>
      <c r="V46" s="78"/>
      <c r="W46" s="56"/>
      <c r="X46" s="56"/>
      <c r="Y46" s="56"/>
      <c r="Z46" s="58"/>
      <c r="AA46" s="58"/>
      <c r="AB46" s="58"/>
      <c r="AC46" s="58"/>
      <c r="AD46" s="58"/>
      <c r="AE46" s="58"/>
      <c r="AF46" s="58"/>
      <c r="AG46" s="58"/>
      <c r="AH46" s="58"/>
      <c r="AI46" s="58"/>
      <c r="AJ46" s="58"/>
      <c r="AK46" s="491"/>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3"/>
    </row>
    <row r="47" spans="1:78" s="28" customFormat="1" ht="12.75" customHeight="1">
      <c r="A47" s="813"/>
      <c r="B47" s="838"/>
      <c r="C47" s="495">
        <v>27</v>
      </c>
      <c r="D47" s="1655"/>
      <c r="E47" s="1655"/>
      <c r="F47" s="1655"/>
      <c r="G47" s="1655"/>
      <c r="H47" s="1062"/>
      <c r="I47" s="1062"/>
      <c r="J47" s="1656"/>
      <c r="K47" s="1656"/>
      <c r="L47" s="1656"/>
      <c r="M47" s="1656"/>
      <c r="N47" s="1063"/>
      <c r="O47" s="740"/>
      <c r="P47" s="494"/>
      <c r="Q47" s="494"/>
      <c r="R47" s="494"/>
      <c r="S47" s="23"/>
      <c r="T47" s="505"/>
      <c r="U47" s="1028"/>
      <c r="V47" s="78"/>
      <c r="W47" s="56"/>
      <c r="X47" s="56"/>
      <c r="Y47" s="56"/>
      <c r="Z47" s="58"/>
      <c r="AA47" s="58"/>
      <c r="AB47" s="58"/>
      <c r="AC47" s="58"/>
      <c r="AD47" s="58"/>
      <c r="AE47" s="58"/>
      <c r="AF47" s="58"/>
      <c r="AG47" s="58"/>
      <c r="AH47" s="58"/>
      <c r="AI47" s="58"/>
      <c r="AJ47" s="58"/>
      <c r="AK47" s="491"/>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3"/>
    </row>
    <row r="48" spans="1:78" s="28" customFormat="1" ht="12.75" customHeight="1">
      <c r="A48" s="813"/>
      <c r="B48" s="838"/>
      <c r="C48" s="495">
        <v>28</v>
      </c>
      <c r="D48" s="1655"/>
      <c r="E48" s="1655"/>
      <c r="F48" s="1655"/>
      <c r="G48" s="1655"/>
      <c r="H48" s="1062"/>
      <c r="I48" s="1062"/>
      <c r="J48" s="1656"/>
      <c r="K48" s="1656"/>
      <c r="L48" s="1656"/>
      <c r="M48" s="1656"/>
      <c r="N48" s="1063"/>
      <c r="O48" s="740"/>
      <c r="P48" s="494"/>
      <c r="Q48" s="494"/>
      <c r="R48" s="494"/>
      <c r="S48" s="23"/>
      <c r="T48" s="505"/>
      <c r="U48" s="1028"/>
      <c r="V48" s="78"/>
      <c r="W48" s="56"/>
      <c r="X48" s="56"/>
      <c r="Y48" s="56"/>
      <c r="Z48" s="58"/>
      <c r="AA48" s="58"/>
      <c r="AB48" s="58"/>
      <c r="AC48" s="58"/>
      <c r="AD48" s="58"/>
      <c r="AE48" s="58"/>
      <c r="AF48" s="58"/>
      <c r="AG48" s="58"/>
      <c r="AH48" s="58"/>
      <c r="AI48" s="58"/>
      <c r="AJ48" s="58"/>
      <c r="AK48" s="491"/>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3"/>
    </row>
    <row r="49" spans="1:78" s="28" customFormat="1" ht="12.75" customHeight="1">
      <c r="A49" s="813"/>
      <c r="B49" s="838"/>
      <c r="C49" s="495">
        <v>29</v>
      </c>
      <c r="D49" s="1655"/>
      <c r="E49" s="1655"/>
      <c r="F49" s="1655"/>
      <c r="G49" s="1655"/>
      <c r="H49" s="1062"/>
      <c r="I49" s="1062"/>
      <c r="J49" s="1656"/>
      <c r="K49" s="1656"/>
      <c r="L49" s="1656"/>
      <c r="M49" s="1656"/>
      <c r="N49" s="1063"/>
      <c r="O49" s="740"/>
      <c r="P49" s="494"/>
      <c r="Q49" s="494"/>
      <c r="R49" s="494"/>
      <c r="S49" s="23"/>
      <c r="T49" s="505"/>
      <c r="U49" s="1028"/>
      <c r="V49" s="78"/>
      <c r="W49" s="56"/>
      <c r="X49" s="56"/>
      <c r="Y49" s="56"/>
      <c r="Z49" s="58"/>
      <c r="AA49" s="58"/>
      <c r="AB49" s="58"/>
      <c r="AC49" s="58"/>
      <c r="AD49" s="58"/>
      <c r="AE49" s="58"/>
      <c r="AF49" s="58"/>
      <c r="AG49" s="58"/>
      <c r="AH49" s="58"/>
      <c r="AI49" s="58"/>
      <c r="AJ49" s="58"/>
      <c r="AK49" s="491"/>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3"/>
    </row>
    <row r="50" spans="1:78" s="28" customFormat="1" ht="12.75" customHeight="1">
      <c r="A50" s="813"/>
      <c r="B50" s="838"/>
      <c r="C50" s="495">
        <v>30</v>
      </c>
      <c r="D50" s="1655"/>
      <c r="E50" s="1655"/>
      <c r="F50" s="1655"/>
      <c r="G50" s="1655"/>
      <c r="H50" s="1062"/>
      <c r="I50" s="1062"/>
      <c r="J50" s="1656"/>
      <c r="K50" s="1656"/>
      <c r="L50" s="1656"/>
      <c r="M50" s="1656"/>
      <c r="N50" s="1063"/>
      <c r="O50" s="740"/>
      <c r="P50" s="494"/>
      <c r="Q50" s="494"/>
      <c r="R50" s="494"/>
      <c r="S50" s="23"/>
      <c r="T50" s="505"/>
      <c r="U50" s="1028"/>
      <c r="V50" s="78"/>
      <c r="W50" s="56"/>
      <c r="X50" s="56"/>
      <c r="Y50" s="56"/>
      <c r="Z50" s="58"/>
      <c r="AA50" s="58"/>
      <c r="AB50" s="58"/>
      <c r="AC50" s="58"/>
      <c r="AD50" s="58"/>
      <c r="AE50" s="58"/>
      <c r="AF50" s="58"/>
      <c r="AG50" s="58"/>
      <c r="AH50" s="58"/>
      <c r="AI50" s="58"/>
      <c r="AJ50" s="58"/>
      <c r="AK50" s="491"/>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3"/>
    </row>
    <row r="51" spans="1:78" s="28" customFormat="1" ht="5.0999999999999996" customHeight="1">
      <c r="A51" s="813"/>
      <c r="B51" s="838"/>
      <c r="C51" s="495"/>
      <c r="D51" s="180"/>
      <c r="E51" s="496"/>
      <c r="F51" s="495"/>
      <c r="G51" s="1029"/>
      <c r="H51" s="1029"/>
      <c r="I51" s="1029"/>
      <c r="J51" s="1029"/>
      <c r="K51" s="495"/>
      <c r="L51" s="1029"/>
      <c r="M51" s="1029"/>
      <c r="N51" s="1029"/>
      <c r="O51" s="740"/>
      <c r="P51" s="494"/>
      <c r="Q51" s="494"/>
      <c r="R51" s="494"/>
      <c r="S51" s="23"/>
      <c r="T51" s="505"/>
      <c r="U51" s="1028"/>
      <c r="V51" s="78"/>
      <c r="W51" s="56"/>
      <c r="X51" s="56"/>
      <c r="Y51" s="56"/>
      <c r="Z51" s="58"/>
      <c r="AA51" s="58"/>
      <c r="AB51" s="58"/>
      <c r="AC51" s="58"/>
      <c r="AD51" s="58"/>
      <c r="AE51" s="58"/>
      <c r="AF51" s="58"/>
      <c r="AG51" s="58"/>
      <c r="AH51" s="58"/>
      <c r="AI51" s="58"/>
      <c r="AJ51" s="58"/>
      <c r="AK51" s="491"/>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3"/>
    </row>
    <row r="52" spans="1:78" s="28" customFormat="1" ht="38.85" customHeight="1">
      <c r="A52" s="813"/>
      <c r="B52" s="838"/>
      <c r="C52" s="495"/>
      <c r="D52" s="1653" t="str">
        <f>Translations!$B$754</f>
        <v>Taršos šaltinio pavadinimas arba kitoks identifikatorius</v>
      </c>
      <c r="E52" s="1653"/>
      <c r="F52" s="1653"/>
      <c r="G52" s="1653"/>
      <c r="H52" s="888" t="str">
        <f>Translations!$B$764</f>
        <v>nuo</v>
      </c>
      <c r="I52" s="888" t="str">
        <f>Translations!$B$765</f>
        <v>iki</v>
      </c>
      <c r="J52" s="1654" t="str">
        <f>Translations!$B$758</f>
        <v>Aprašas, priežastys ir metodai</v>
      </c>
      <c r="K52" s="1654"/>
      <c r="L52" s="1654"/>
      <c r="M52" s="1654"/>
      <c r="N52" s="1027" t="str">
        <f>Translations!$B$766</f>
        <v>Apytiksliai nustatytas išmetamųjų ŠESD kiekis 
(CO2(e) tonos)</v>
      </c>
      <c r="O52" s="740"/>
      <c r="P52" s="494"/>
      <c r="Q52" s="494"/>
      <c r="R52" s="494"/>
      <c r="S52" s="23"/>
      <c r="T52" s="505"/>
      <c r="U52" s="1028"/>
      <c r="V52" s="78"/>
      <c r="W52" s="56"/>
      <c r="X52" s="56"/>
      <c r="Y52" s="56"/>
      <c r="Z52" s="58"/>
      <c r="AA52" s="58"/>
      <c r="AB52" s="58"/>
      <c r="AC52" s="58"/>
      <c r="AD52" s="58"/>
      <c r="AE52" s="58"/>
      <c r="AF52" s="58"/>
      <c r="AG52" s="58"/>
      <c r="AH52" s="58"/>
      <c r="AI52" s="58"/>
      <c r="AJ52" s="58"/>
      <c r="AK52" s="491"/>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3"/>
    </row>
    <row r="53" spans="1:78" s="28" customFormat="1" ht="12.75" customHeight="1">
      <c r="A53" s="813"/>
      <c r="B53" s="838"/>
      <c r="C53" s="495">
        <v>1</v>
      </c>
      <c r="D53" s="1655"/>
      <c r="E53" s="1655"/>
      <c r="F53" s="1655"/>
      <c r="G53" s="1655"/>
      <c r="H53" s="1062"/>
      <c r="I53" s="1062"/>
      <c r="J53" s="1656" t="s">
        <v>1829</v>
      </c>
      <c r="K53" s="1656"/>
      <c r="L53" s="1656"/>
      <c r="M53" s="1657"/>
      <c r="N53" s="1063"/>
      <c r="O53" s="740"/>
      <c r="P53" s="494"/>
      <c r="Q53" s="494"/>
      <c r="R53" s="494"/>
      <c r="S53" s="23"/>
      <c r="T53" s="505"/>
      <c r="U53" s="1028"/>
      <c r="V53" s="78"/>
      <c r="W53" s="56"/>
      <c r="X53" s="56"/>
      <c r="Y53" s="56"/>
      <c r="Z53" s="58"/>
      <c r="AA53" s="58"/>
      <c r="AB53" s="58"/>
      <c r="AC53" s="58"/>
      <c r="AD53" s="58"/>
      <c r="AE53" s="58"/>
      <c r="AF53" s="58"/>
      <c r="AG53" s="58"/>
      <c r="AH53" s="58"/>
      <c r="AI53" s="58"/>
      <c r="AJ53" s="58"/>
      <c r="AK53" s="491"/>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3"/>
    </row>
    <row r="54" spans="1:78" s="28" customFormat="1" ht="12.75" customHeight="1">
      <c r="A54" s="813"/>
      <c r="B54" s="838"/>
      <c r="C54" s="495">
        <v>2</v>
      </c>
      <c r="D54" s="1655"/>
      <c r="E54" s="1655"/>
      <c r="F54" s="1655"/>
      <c r="G54" s="1655"/>
      <c r="H54" s="1062"/>
      <c r="I54" s="1062"/>
      <c r="J54" s="1656"/>
      <c r="K54" s="1656"/>
      <c r="L54" s="1656"/>
      <c r="M54" s="1656"/>
      <c r="N54" s="1063"/>
      <c r="O54" s="740"/>
      <c r="P54" s="494"/>
      <c r="Q54" s="494"/>
      <c r="R54" s="494"/>
      <c r="S54" s="23"/>
      <c r="T54" s="505"/>
      <c r="U54" s="1028"/>
      <c r="V54" s="78"/>
      <c r="W54" s="56"/>
      <c r="X54" s="56"/>
      <c r="Y54" s="56"/>
      <c r="Z54" s="58"/>
      <c r="AA54" s="58"/>
      <c r="AB54" s="58"/>
      <c r="AC54" s="58"/>
      <c r="AD54" s="58"/>
      <c r="AE54" s="58"/>
      <c r="AF54" s="58"/>
      <c r="AG54" s="58"/>
      <c r="AH54" s="58"/>
      <c r="AI54" s="58"/>
      <c r="AJ54" s="58"/>
      <c r="AK54" s="491"/>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3"/>
    </row>
    <row r="55" spans="1:78" s="28" customFormat="1" ht="12.75" customHeight="1">
      <c r="A55" s="813"/>
      <c r="B55" s="838"/>
      <c r="C55" s="495">
        <v>3</v>
      </c>
      <c r="D55" s="1655"/>
      <c r="E55" s="1655"/>
      <c r="F55" s="1655"/>
      <c r="G55" s="1655"/>
      <c r="H55" s="1062"/>
      <c r="I55" s="1062"/>
      <c r="J55" s="1656"/>
      <c r="K55" s="1656"/>
      <c r="L55" s="1656"/>
      <c r="M55" s="1656"/>
      <c r="N55" s="1063"/>
      <c r="O55" s="740"/>
      <c r="P55" s="494"/>
      <c r="Q55" s="494"/>
      <c r="R55" s="494"/>
      <c r="S55" s="23"/>
      <c r="T55" s="505"/>
      <c r="U55" s="1028"/>
      <c r="V55" s="78"/>
      <c r="W55" s="56"/>
      <c r="X55" s="56"/>
      <c r="Y55" s="56"/>
      <c r="Z55" s="58"/>
      <c r="AA55" s="58"/>
      <c r="AB55" s="58"/>
      <c r="AC55" s="58"/>
      <c r="AD55" s="58"/>
      <c r="AE55" s="58"/>
      <c r="AF55" s="58"/>
      <c r="AG55" s="58"/>
      <c r="AH55" s="58"/>
      <c r="AI55" s="58"/>
      <c r="AJ55" s="58"/>
      <c r="AK55" s="491"/>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3"/>
    </row>
    <row r="56" spans="1:78" s="28" customFormat="1" ht="12.75" customHeight="1">
      <c r="A56" s="813"/>
      <c r="B56" s="838"/>
      <c r="C56" s="495">
        <v>4</v>
      </c>
      <c r="D56" s="1655"/>
      <c r="E56" s="1655"/>
      <c r="F56" s="1655"/>
      <c r="G56" s="1655"/>
      <c r="H56" s="1062"/>
      <c r="I56" s="1062"/>
      <c r="J56" s="1656"/>
      <c r="K56" s="1656"/>
      <c r="L56" s="1656"/>
      <c r="M56" s="1656"/>
      <c r="N56" s="1063"/>
      <c r="O56" s="740"/>
      <c r="P56" s="494"/>
      <c r="Q56" s="494"/>
      <c r="R56" s="494"/>
      <c r="S56" s="23"/>
      <c r="T56" s="505"/>
      <c r="U56" s="1028"/>
      <c r="V56" s="78"/>
      <c r="W56" s="56"/>
      <c r="X56" s="56"/>
      <c r="Y56" s="56"/>
      <c r="Z56" s="58"/>
      <c r="AA56" s="58"/>
      <c r="AB56" s="58"/>
      <c r="AC56" s="58"/>
      <c r="AD56" s="58"/>
      <c r="AE56" s="58"/>
      <c r="AF56" s="58"/>
      <c r="AG56" s="58"/>
      <c r="AH56" s="58"/>
      <c r="AI56" s="58"/>
      <c r="AJ56" s="58"/>
      <c r="AK56" s="491"/>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3"/>
    </row>
    <row r="57" spans="1:78" s="28" customFormat="1" ht="12.75" customHeight="1">
      <c r="A57" s="813"/>
      <c r="B57" s="838"/>
      <c r="C57" s="495">
        <v>5</v>
      </c>
      <c r="D57" s="1655"/>
      <c r="E57" s="1655"/>
      <c r="F57" s="1655"/>
      <c r="G57" s="1655"/>
      <c r="H57" s="1062"/>
      <c r="I57" s="1062"/>
      <c r="J57" s="1656"/>
      <c r="K57" s="1656"/>
      <c r="L57" s="1656"/>
      <c r="M57" s="1656"/>
      <c r="N57" s="1063"/>
      <c r="O57" s="740"/>
      <c r="P57" s="494"/>
      <c r="Q57" s="494"/>
      <c r="R57" s="494"/>
      <c r="S57" s="23"/>
      <c r="T57" s="505"/>
      <c r="U57" s="1028"/>
      <c r="V57" s="78"/>
      <c r="W57" s="56"/>
      <c r="X57" s="56"/>
      <c r="Y57" s="56"/>
      <c r="Z57" s="58"/>
      <c r="AA57" s="58"/>
      <c r="AB57" s="58"/>
      <c r="AC57" s="58"/>
      <c r="AD57" s="58"/>
      <c r="AE57" s="58"/>
      <c r="AF57" s="58"/>
      <c r="AG57" s="58"/>
      <c r="AH57" s="58"/>
      <c r="AI57" s="58"/>
      <c r="AJ57" s="58"/>
      <c r="AK57" s="491"/>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3"/>
    </row>
    <row r="58" spans="1:78" s="28" customFormat="1" ht="12.75" customHeight="1">
      <c r="A58" s="813"/>
      <c r="B58" s="838"/>
      <c r="C58" s="495">
        <v>6</v>
      </c>
      <c r="D58" s="1655"/>
      <c r="E58" s="1655"/>
      <c r="F58" s="1655"/>
      <c r="G58" s="1655"/>
      <c r="H58" s="1062"/>
      <c r="I58" s="1062"/>
      <c r="J58" s="1656"/>
      <c r="K58" s="1656"/>
      <c r="L58" s="1656"/>
      <c r="M58" s="1656"/>
      <c r="N58" s="1063"/>
      <c r="O58" s="740"/>
      <c r="P58" s="494"/>
      <c r="Q58" s="494"/>
      <c r="R58" s="494"/>
      <c r="S58" s="23"/>
      <c r="T58" s="505"/>
      <c r="U58" s="1028"/>
      <c r="V58" s="78"/>
      <c r="W58" s="56"/>
      <c r="X58" s="56"/>
      <c r="Y58" s="56"/>
      <c r="Z58" s="58"/>
      <c r="AA58" s="58"/>
      <c r="AB58" s="58"/>
      <c r="AC58" s="58"/>
      <c r="AD58" s="58"/>
      <c r="AE58" s="58"/>
      <c r="AF58" s="58"/>
      <c r="AG58" s="58"/>
      <c r="AH58" s="58"/>
      <c r="AI58" s="58"/>
      <c r="AJ58" s="58"/>
      <c r="AK58" s="491"/>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3"/>
    </row>
    <row r="59" spans="1:78" s="28" customFormat="1" ht="12.75" customHeight="1">
      <c r="A59" s="813"/>
      <c r="B59" s="838"/>
      <c r="C59" s="495">
        <v>7</v>
      </c>
      <c r="D59" s="1655"/>
      <c r="E59" s="1655"/>
      <c r="F59" s="1655"/>
      <c r="G59" s="1655"/>
      <c r="H59" s="1062"/>
      <c r="I59" s="1062"/>
      <c r="J59" s="1656"/>
      <c r="K59" s="1656"/>
      <c r="L59" s="1656"/>
      <c r="M59" s="1656"/>
      <c r="N59" s="1063"/>
      <c r="O59" s="740"/>
      <c r="P59" s="494"/>
      <c r="Q59" s="494"/>
      <c r="R59" s="494"/>
      <c r="S59" s="23"/>
      <c r="T59" s="505"/>
      <c r="U59" s="1028"/>
      <c r="V59" s="78"/>
      <c r="W59" s="56"/>
      <c r="X59" s="56"/>
      <c r="Y59" s="56"/>
      <c r="Z59" s="58"/>
      <c r="AA59" s="58"/>
      <c r="AB59" s="58"/>
      <c r="AC59" s="58"/>
      <c r="AD59" s="58"/>
      <c r="AE59" s="58"/>
      <c r="AF59" s="58"/>
      <c r="AG59" s="58"/>
      <c r="AH59" s="58"/>
      <c r="AI59" s="58"/>
      <c r="AJ59" s="58"/>
      <c r="AK59" s="491"/>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3"/>
    </row>
    <row r="60" spans="1:78" s="28" customFormat="1" ht="12.75" customHeight="1">
      <c r="A60" s="813"/>
      <c r="B60" s="838"/>
      <c r="C60" s="495">
        <v>8</v>
      </c>
      <c r="D60" s="1655"/>
      <c r="E60" s="1655"/>
      <c r="F60" s="1655"/>
      <c r="G60" s="1655"/>
      <c r="H60" s="1062"/>
      <c r="I60" s="1062"/>
      <c r="J60" s="1656"/>
      <c r="K60" s="1656"/>
      <c r="L60" s="1656"/>
      <c r="M60" s="1656"/>
      <c r="N60" s="1063"/>
      <c r="O60" s="740"/>
      <c r="P60" s="494"/>
      <c r="Q60" s="494"/>
      <c r="R60" s="494"/>
      <c r="S60" s="23"/>
      <c r="T60" s="505"/>
      <c r="U60" s="1028"/>
      <c r="V60" s="78"/>
      <c r="W60" s="56"/>
      <c r="X60" s="56"/>
      <c r="Y60" s="56"/>
      <c r="Z60" s="58"/>
      <c r="AA60" s="58"/>
      <c r="AB60" s="58"/>
      <c r="AC60" s="58"/>
      <c r="AD60" s="58"/>
      <c r="AE60" s="58"/>
      <c r="AF60" s="58"/>
      <c r="AG60" s="58"/>
      <c r="AH60" s="58"/>
      <c r="AI60" s="58"/>
      <c r="AJ60" s="58"/>
      <c r="AK60" s="491"/>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3"/>
    </row>
    <row r="61" spans="1:78" s="28" customFormat="1" ht="12.75" customHeight="1">
      <c r="A61" s="813"/>
      <c r="B61" s="838"/>
      <c r="C61" s="495">
        <v>9</v>
      </c>
      <c r="D61" s="1655"/>
      <c r="E61" s="1655"/>
      <c r="F61" s="1655"/>
      <c r="G61" s="1655"/>
      <c r="H61" s="1062"/>
      <c r="I61" s="1062"/>
      <c r="J61" s="1656"/>
      <c r="K61" s="1656"/>
      <c r="L61" s="1656"/>
      <c r="M61" s="1656"/>
      <c r="N61" s="1063"/>
      <c r="O61" s="740"/>
      <c r="P61" s="494"/>
      <c r="Q61" s="494"/>
      <c r="R61" s="494"/>
      <c r="S61" s="23"/>
      <c r="T61" s="505"/>
      <c r="U61" s="1028"/>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row>
    <row r="62" spans="1:78" s="28" customFormat="1" ht="12.75" customHeight="1">
      <c r="A62" s="813"/>
      <c r="B62" s="838"/>
      <c r="C62" s="495">
        <v>10</v>
      </c>
      <c r="D62" s="1655"/>
      <c r="E62" s="1655"/>
      <c r="F62" s="1655"/>
      <c r="G62" s="1655"/>
      <c r="H62" s="1062"/>
      <c r="I62" s="1062"/>
      <c r="J62" s="1656"/>
      <c r="K62" s="1656"/>
      <c r="L62" s="1656"/>
      <c r="M62" s="1656"/>
      <c r="N62" s="1063"/>
      <c r="O62" s="740"/>
      <c r="P62" s="494"/>
      <c r="Q62" s="494"/>
      <c r="R62" s="494"/>
      <c r="S62" s="23"/>
      <c r="T62" s="505"/>
      <c r="U62" s="1028"/>
      <c r="V62" s="78"/>
      <c r="W62" s="56"/>
      <c r="X62" s="56"/>
      <c r="Y62" s="56"/>
      <c r="Z62" s="58"/>
      <c r="AA62" s="58"/>
      <c r="AB62" s="58"/>
      <c r="AC62" s="58"/>
      <c r="AD62" s="58"/>
      <c r="AE62" s="58"/>
      <c r="AF62" s="58"/>
      <c r="AG62" s="58"/>
      <c r="AH62" s="58"/>
      <c r="AI62" s="58"/>
      <c r="AJ62" s="58"/>
      <c r="AK62" s="491"/>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3"/>
    </row>
    <row r="63" spans="1:78" ht="12.75" customHeight="1" thickBot="1">
      <c r="A63" s="56"/>
      <c r="B63" s="793"/>
      <c r="C63" s="720"/>
      <c r="D63" s="500"/>
      <c r="E63" s="38"/>
      <c r="F63" s="36"/>
      <c r="G63" s="39"/>
      <c r="H63" s="39"/>
      <c r="I63" s="39"/>
      <c r="J63" s="39"/>
      <c r="K63" s="39"/>
      <c r="L63" s="39"/>
      <c r="M63" s="39"/>
      <c r="N63" s="39"/>
      <c r="O63" s="736"/>
      <c r="P63" s="392"/>
      <c r="Q63" s="56"/>
      <c r="R63" s="56"/>
      <c r="S63" s="75"/>
      <c r="T63" s="56"/>
      <c r="U63" s="56"/>
      <c r="V63" s="56"/>
      <c r="W63" s="45"/>
      <c r="X63" s="56"/>
      <c r="Y63" s="56"/>
      <c r="Z63" s="56"/>
      <c r="AA63" s="56"/>
      <c r="AB63" s="56"/>
    </row>
    <row r="64" spans="1:78">
      <c r="A64" s="807"/>
      <c r="B64" s="793"/>
      <c r="D64" s="9"/>
      <c r="E64" s="496"/>
      <c r="F64" s="10"/>
      <c r="G64" s="11"/>
      <c r="H64" s="11"/>
      <c r="I64" s="11"/>
      <c r="J64" s="11"/>
      <c r="K64" s="11"/>
      <c r="L64" s="11"/>
      <c r="M64" s="11"/>
      <c r="N64" s="11"/>
      <c r="O64" s="736"/>
      <c r="P64" s="392"/>
      <c r="Q64" s="392"/>
      <c r="R64" s="392"/>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c r="A65" s="770"/>
      <c r="B65" s="793"/>
      <c r="C65" s="495"/>
      <c r="E65" s="150"/>
      <c r="F65" s="1564" t="str">
        <f>EUconst_MsgNextSheet</f>
        <v xml:space="preserve">&lt;&lt;&lt; Į kitą lapą pereisite paspaudę čia &gt;&gt;&gt; </v>
      </c>
      <c r="G65" s="1565"/>
      <c r="H65" s="1565"/>
      <c r="I65" s="1565"/>
      <c r="J65" s="1565"/>
      <c r="K65" s="1565"/>
      <c r="L65" s="1566"/>
      <c r="M65" s="150"/>
      <c r="N65" s="150"/>
      <c r="O65" s="736"/>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c r="A66" s="816"/>
      <c r="B66" s="1030"/>
      <c r="C66" s="818"/>
      <c r="D66" s="819"/>
      <c r="E66" s="798"/>
      <c r="F66" s="820"/>
      <c r="G66" s="821"/>
      <c r="H66" s="821"/>
      <c r="I66" s="821"/>
      <c r="J66" s="821"/>
      <c r="K66" s="821"/>
      <c r="L66" s="821"/>
      <c r="M66" s="821"/>
      <c r="N66" s="821"/>
      <c r="O66" s="822"/>
      <c r="P66" s="392"/>
      <c r="Q66" s="392"/>
      <c r="R66" s="392"/>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c r="A67" s="55" t="s">
        <v>87</v>
      </c>
      <c r="B67" s="55" t="s">
        <v>72</v>
      </c>
      <c r="C67" s="491" t="s">
        <v>72</v>
      </c>
      <c r="D67" s="55" t="s">
        <v>72</v>
      </c>
      <c r="E67" s="491"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c r="A69" s="47" t="s">
        <v>87</v>
      </c>
      <c r="B69" s="250"/>
      <c r="C69" s="251"/>
      <c r="D69" s="250"/>
      <c r="E69" s="251"/>
      <c r="F69" s="949"/>
      <c r="G69" s="950"/>
      <c r="H69" s="950"/>
      <c r="I69" s="950" t="str">
        <f>C_SourceStreams!I2091</f>
        <v>source stream</v>
      </c>
      <c r="J69" s="950"/>
      <c r="K69" s="950"/>
      <c r="L69" s="950"/>
      <c r="M69" s="951" t="str">
        <f>C_SourceStreams!M2091</f>
        <v>Range</v>
      </c>
      <c r="N69" s="250"/>
      <c r="O69" s="267"/>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2" customFormat="1" hidden="1">
      <c r="A70" s="1" t="s">
        <v>87</v>
      </c>
      <c r="C70" s="726"/>
      <c r="E70" s="726"/>
      <c r="F70" s="952">
        <f>C_SourceStreams!F2092</f>
        <v>1</v>
      </c>
      <c r="G70" s="953" t="str">
        <f>C_SourceStreams!G2092</f>
        <v>F1. Dujinis – Gamtinės dujos; Gamtinės dujos</v>
      </c>
      <c r="H70" s="953">
        <f>C_SourceStreams!H2092</f>
        <v>1</v>
      </c>
      <c r="I70" s="954" t="str">
        <f>C_SourceStreams!I2092</f>
        <v>F1. Dujinis – Gamtinės dujos; Gamtinės dujos</v>
      </c>
      <c r="J70" s="953"/>
      <c r="K70" s="953"/>
      <c r="L70" s="953"/>
      <c r="M70" s="636" t="str">
        <f>IF(COUNT(H70:H144)=0,"","$I$"&amp;ROW(I70)&amp;":$I$"&amp; ROW(I70)-1+MAX(1,H70:H144))</f>
        <v>$I$70:$I$72</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2" customFormat="1" hidden="1">
      <c r="A71" s="1" t="s">
        <v>87</v>
      </c>
      <c r="C71" s="726"/>
      <c r="E71" s="726"/>
      <c r="F71" s="625">
        <f>C_SourceStreams!F2093</f>
        <v>2</v>
      </c>
      <c r="G71" s="620" t="str">
        <f>C_SourceStreams!G2093</f>
        <v>F2. Skystasis – Dujos ir (arba) dyzelinas; Dyzelinis krosnių kuras</v>
      </c>
      <c r="H71" s="620">
        <f>C_SourceStreams!H2093</f>
        <v>2</v>
      </c>
      <c r="I71" s="631" t="str">
        <f>C_SourceStreams!I2093</f>
        <v>F2. Skystasis – Dujos ir (arba) dyzelinas; Dyzelinis krosnių kuras</v>
      </c>
      <c r="J71" s="620"/>
      <c r="K71" s="620"/>
      <c r="L71" s="620"/>
      <c r="M71" s="626"/>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2" customFormat="1" hidden="1">
      <c r="A72" s="1" t="s">
        <v>87</v>
      </c>
      <c r="C72" s="726"/>
      <c r="E72" s="726"/>
      <c r="F72" s="625">
        <f>C_SourceStreams!F2094</f>
        <v>3</v>
      </c>
      <c r="G72" s="620" t="str">
        <f>C_SourceStreams!G2094</f>
        <v>F3. Kietasis – Mediena (ne atliekos); Medienos skiedros</v>
      </c>
      <c r="H72" s="620">
        <f>C_SourceStreams!H2094</f>
        <v>3</v>
      </c>
      <c r="I72" s="631" t="str">
        <f>C_SourceStreams!I2094</f>
        <v>F3. Kietasis – Mediena (ne atliekos); Medienos skiedros</v>
      </c>
      <c r="J72" s="620"/>
      <c r="K72" s="620"/>
      <c r="L72" s="620"/>
      <c r="M72" s="626"/>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2" customFormat="1" hidden="1">
      <c r="A73" s="1" t="s">
        <v>87</v>
      </c>
      <c r="C73" s="726"/>
      <c r="E73" s="726"/>
      <c r="F73" s="625">
        <f>C_SourceStreams!F2095</f>
        <v>4</v>
      </c>
      <c r="G73" s="620" t="str">
        <f>C_SourceStreams!G2095</f>
        <v>netaik.</v>
      </c>
      <c r="H73" s="620" t="str">
        <f>C_SourceStreams!H2095</f>
        <v/>
      </c>
      <c r="I73" s="631" t="str">
        <f>C_SourceStreams!I2095</f>
        <v/>
      </c>
      <c r="J73" s="620"/>
      <c r="K73" s="620"/>
      <c r="L73" s="620"/>
      <c r="M73" s="626"/>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2" customFormat="1" hidden="1">
      <c r="A74" s="1" t="s">
        <v>87</v>
      </c>
      <c r="C74" s="726"/>
      <c r="E74" s="726"/>
      <c r="F74" s="625">
        <f>C_SourceStreams!F2096</f>
        <v>5</v>
      </c>
      <c r="G74" s="620" t="str">
        <f>C_SourceStreams!G2096</f>
        <v>netaik.</v>
      </c>
      <c r="H74" s="620" t="str">
        <f>C_SourceStreams!H2096</f>
        <v/>
      </c>
      <c r="I74" s="631" t="str">
        <f>C_SourceStreams!I2096</f>
        <v/>
      </c>
      <c r="J74" s="620"/>
      <c r="K74" s="620"/>
      <c r="L74" s="620"/>
      <c r="M74" s="626"/>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2" customFormat="1" hidden="1">
      <c r="A75" s="1" t="s">
        <v>87</v>
      </c>
      <c r="C75" s="726"/>
      <c r="E75" s="726"/>
      <c r="F75" s="625">
        <f>C_SourceStreams!F2097</f>
        <v>6</v>
      </c>
      <c r="G75" s="620" t="str">
        <f>C_SourceStreams!G2097</f>
        <v>netaik.</v>
      </c>
      <c r="H75" s="620" t="str">
        <f>C_SourceStreams!H2097</f>
        <v/>
      </c>
      <c r="I75" s="631" t="str">
        <f>C_SourceStreams!I2097</f>
        <v/>
      </c>
      <c r="J75" s="620"/>
      <c r="K75" s="620"/>
      <c r="L75" s="620"/>
      <c r="M75" s="626"/>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2" customFormat="1" hidden="1">
      <c r="A76" s="1" t="s">
        <v>87</v>
      </c>
      <c r="C76" s="726"/>
      <c r="E76" s="726"/>
      <c r="F76" s="625">
        <f>C_SourceStreams!F2098</f>
        <v>7</v>
      </c>
      <c r="G76" s="620" t="str">
        <f>C_SourceStreams!G2098</f>
        <v>netaik.</v>
      </c>
      <c r="H76" s="620" t="str">
        <f>C_SourceStreams!H2098</f>
        <v/>
      </c>
      <c r="I76" s="631" t="str">
        <f>C_SourceStreams!I2098</f>
        <v/>
      </c>
      <c r="J76" s="620"/>
      <c r="K76" s="620"/>
      <c r="L76" s="620"/>
      <c r="M76" s="626"/>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2" customFormat="1" hidden="1">
      <c r="A77" s="1" t="s">
        <v>87</v>
      </c>
      <c r="C77" s="726"/>
      <c r="E77" s="726"/>
      <c r="F77" s="625">
        <f>C_SourceStreams!F2099</f>
        <v>8</v>
      </c>
      <c r="G77" s="620" t="str">
        <f>C_SourceStreams!G2099</f>
        <v>netaik.</v>
      </c>
      <c r="H77" s="620" t="str">
        <f>C_SourceStreams!H2099</f>
        <v/>
      </c>
      <c r="I77" s="631" t="str">
        <f>C_SourceStreams!I2099</f>
        <v/>
      </c>
      <c r="J77" s="620"/>
      <c r="K77" s="620"/>
      <c r="L77" s="620"/>
      <c r="M77" s="626"/>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2" customFormat="1" hidden="1">
      <c r="A78" s="1" t="s">
        <v>87</v>
      </c>
      <c r="C78" s="726"/>
      <c r="E78" s="726"/>
      <c r="F78" s="625">
        <f>C_SourceStreams!F2100</f>
        <v>9</v>
      </c>
      <c r="G78" s="620" t="str">
        <f>C_SourceStreams!G2100</f>
        <v>netaik.</v>
      </c>
      <c r="H78" s="620" t="str">
        <f>C_SourceStreams!H2100</f>
        <v/>
      </c>
      <c r="I78" s="631" t="str">
        <f>C_SourceStreams!I2100</f>
        <v/>
      </c>
      <c r="J78" s="620"/>
      <c r="K78" s="620"/>
      <c r="L78" s="620"/>
      <c r="M78" s="626"/>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2" customFormat="1" hidden="1">
      <c r="A79" s="1" t="s">
        <v>87</v>
      </c>
      <c r="C79" s="726"/>
      <c r="E79" s="726"/>
      <c r="F79" s="625">
        <f>C_SourceStreams!F2101</f>
        <v>10</v>
      </c>
      <c r="G79" s="620" t="str">
        <f>C_SourceStreams!G2101</f>
        <v>netaik.</v>
      </c>
      <c r="H79" s="620" t="str">
        <f>C_SourceStreams!H2101</f>
        <v/>
      </c>
      <c r="I79" s="631" t="str">
        <f>C_SourceStreams!I2101</f>
        <v/>
      </c>
      <c r="J79" s="620"/>
      <c r="K79" s="620"/>
      <c r="L79" s="620"/>
      <c r="M79" s="626"/>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2" customFormat="1" hidden="1">
      <c r="A80" s="1" t="s">
        <v>87</v>
      </c>
      <c r="C80" s="726"/>
      <c r="E80" s="726"/>
      <c r="F80" s="625">
        <f>C_SourceStreams!F2102</f>
        <v>11</v>
      </c>
      <c r="G80" s="620" t="str">
        <f>C_SourceStreams!G2102</f>
        <v>netaik.</v>
      </c>
      <c r="H80" s="620" t="str">
        <f>C_SourceStreams!H2102</f>
        <v/>
      </c>
      <c r="I80" s="631" t="str">
        <f>C_SourceStreams!I2102</f>
        <v/>
      </c>
      <c r="J80" s="620"/>
      <c r="K80" s="620"/>
      <c r="L80" s="620"/>
      <c r="M80" s="626"/>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2" customFormat="1" hidden="1">
      <c r="A81" s="1" t="s">
        <v>87</v>
      </c>
      <c r="C81" s="726"/>
      <c r="E81" s="726"/>
      <c r="F81" s="625">
        <f>C_SourceStreams!F2103</f>
        <v>12</v>
      </c>
      <c r="G81" s="620" t="str">
        <f>C_SourceStreams!G2103</f>
        <v>netaik.</v>
      </c>
      <c r="H81" s="620" t="str">
        <f>C_SourceStreams!H2103</f>
        <v/>
      </c>
      <c r="I81" s="631" t="str">
        <f>C_SourceStreams!I2103</f>
        <v/>
      </c>
      <c r="J81" s="620"/>
      <c r="K81" s="620"/>
      <c r="L81" s="620"/>
      <c r="M81" s="626"/>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2" customFormat="1" hidden="1">
      <c r="A82" s="1" t="s">
        <v>87</v>
      </c>
      <c r="C82" s="726"/>
      <c r="E82" s="726"/>
      <c r="F82" s="625">
        <f>C_SourceStreams!F2104</f>
        <v>13</v>
      </c>
      <c r="G82" s="620" t="str">
        <f>C_SourceStreams!G2104</f>
        <v>netaik.</v>
      </c>
      <c r="H82" s="620" t="str">
        <f>C_SourceStreams!H2104</f>
        <v/>
      </c>
      <c r="I82" s="631" t="str">
        <f>C_SourceStreams!I2104</f>
        <v/>
      </c>
      <c r="J82" s="620"/>
      <c r="K82" s="620"/>
      <c r="L82" s="620"/>
      <c r="M82" s="626"/>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2" customFormat="1" hidden="1">
      <c r="A83" s="1" t="s">
        <v>87</v>
      </c>
      <c r="C83" s="726"/>
      <c r="E83" s="726"/>
      <c r="F83" s="625">
        <f>C_SourceStreams!F2105</f>
        <v>14</v>
      </c>
      <c r="G83" s="620" t="str">
        <f>C_SourceStreams!G2105</f>
        <v>netaik.</v>
      </c>
      <c r="H83" s="620" t="str">
        <f>C_SourceStreams!H2105</f>
        <v/>
      </c>
      <c r="I83" s="631" t="str">
        <f>C_SourceStreams!I2105</f>
        <v/>
      </c>
      <c r="J83" s="620"/>
      <c r="K83" s="620"/>
      <c r="L83" s="620"/>
      <c r="M83" s="626"/>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2" customFormat="1" hidden="1">
      <c r="A84" s="1" t="s">
        <v>87</v>
      </c>
      <c r="C84" s="726"/>
      <c r="E84" s="726"/>
      <c r="F84" s="625">
        <f>C_SourceStreams!F2106</f>
        <v>15</v>
      </c>
      <c r="G84" s="620" t="str">
        <f>C_SourceStreams!G2106</f>
        <v>netaik.</v>
      </c>
      <c r="H84" s="620" t="str">
        <f>C_SourceStreams!H2106</f>
        <v/>
      </c>
      <c r="I84" s="631" t="str">
        <f>C_SourceStreams!I2106</f>
        <v/>
      </c>
      <c r="J84" s="620"/>
      <c r="K84" s="620"/>
      <c r="L84" s="620"/>
      <c r="M84" s="626"/>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2" customFormat="1" hidden="1">
      <c r="A85" s="1" t="s">
        <v>87</v>
      </c>
      <c r="C85" s="726"/>
      <c r="E85" s="726"/>
      <c r="F85" s="625">
        <f>C_SourceStreams!F2107</f>
        <v>16</v>
      </c>
      <c r="G85" s="620" t="str">
        <f>C_SourceStreams!G2107</f>
        <v>netaik.</v>
      </c>
      <c r="H85" s="620" t="str">
        <f>C_SourceStreams!H2107</f>
        <v/>
      </c>
      <c r="I85" s="631" t="str">
        <f>C_SourceStreams!I2107</f>
        <v/>
      </c>
      <c r="J85" s="620"/>
      <c r="K85" s="620"/>
      <c r="L85" s="620"/>
      <c r="M85" s="626"/>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2" customFormat="1" hidden="1">
      <c r="A86" s="1" t="s">
        <v>87</v>
      </c>
      <c r="C86" s="726"/>
      <c r="E86" s="726"/>
      <c r="F86" s="625">
        <f>C_SourceStreams!F2108</f>
        <v>17</v>
      </c>
      <c r="G86" s="620" t="str">
        <f>C_SourceStreams!G2108</f>
        <v>netaik.</v>
      </c>
      <c r="H86" s="620" t="str">
        <f>C_SourceStreams!H2108</f>
        <v/>
      </c>
      <c r="I86" s="631" t="str">
        <f>C_SourceStreams!I2108</f>
        <v/>
      </c>
      <c r="J86" s="620"/>
      <c r="K86" s="620"/>
      <c r="L86" s="620"/>
      <c r="M86" s="626"/>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2" customFormat="1" hidden="1">
      <c r="A87" s="1" t="s">
        <v>87</v>
      </c>
      <c r="C87" s="726"/>
      <c r="E87" s="726"/>
      <c r="F87" s="625">
        <f>C_SourceStreams!F2109</f>
        <v>18</v>
      </c>
      <c r="G87" s="620" t="str">
        <f>C_SourceStreams!G2109</f>
        <v>netaik.</v>
      </c>
      <c r="H87" s="620" t="str">
        <f>C_SourceStreams!H2109</f>
        <v/>
      </c>
      <c r="I87" s="631" t="str">
        <f>C_SourceStreams!I2109</f>
        <v/>
      </c>
      <c r="J87" s="620"/>
      <c r="K87" s="620"/>
      <c r="L87" s="620"/>
      <c r="M87" s="626"/>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2" customFormat="1" hidden="1">
      <c r="A88" s="1" t="s">
        <v>87</v>
      </c>
      <c r="C88" s="726"/>
      <c r="E88" s="726"/>
      <c r="F88" s="625">
        <f>C_SourceStreams!F2110</f>
        <v>19</v>
      </c>
      <c r="G88" s="620" t="str">
        <f>C_SourceStreams!G2110</f>
        <v>netaik.</v>
      </c>
      <c r="H88" s="620" t="str">
        <f>C_SourceStreams!H2110</f>
        <v/>
      </c>
      <c r="I88" s="631" t="str">
        <f>C_SourceStreams!I2110</f>
        <v/>
      </c>
      <c r="J88" s="620"/>
      <c r="K88" s="620"/>
      <c r="L88" s="620"/>
      <c r="M88" s="626"/>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2" customFormat="1" hidden="1">
      <c r="A89" s="1" t="s">
        <v>87</v>
      </c>
      <c r="C89" s="726"/>
      <c r="E89" s="726"/>
      <c r="F89" s="625">
        <f>C_SourceStreams!F2111</f>
        <v>20</v>
      </c>
      <c r="G89" s="620" t="str">
        <f>C_SourceStreams!G2111</f>
        <v>netaik.</v>
      </c>
      <c r="H89" s="620" t="str">
        <f>C_SourceStreams!H2111</f>
        <v/>
      </c>
      <c r="I89" s="631" t="str">
        <f>C_SourceStreams!I2111</f>
        <v/>
      </c>
      <c r="J89" s="620"/>
      <c r="K89" s="620"/>
      <c r="L89" s="620"/>
      <c r="M89" s="626"/>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2" customFormat="1" hidden="1">
      <c r="A90" s="1" t="s">
        <v>87</v>
      </c>
      <c r="C90" s="726"/>
      <c r="E90" s="726"/>
      <c r="F90" s="625">
        <f>C_SourceStreams!F2112</f>
        <v>21</v>
      </c>
      <c r="G90" s="620" t="str">
        <f>C_SourceStreams!G2112</f>
        <v>netaik.</v>
      </c>
      <c r="H90" s="620" t="str">
        <f>C_SourceStreams!H2112</f>
        <v/>
      </c>
      <c r="I90" s="631" t="str">
        <f>C_SourceStreams!I2112</f>
        <v/>
      </c>
      <c r="J90" s="620"/>
      <c r="K90" s="620"/>
      <c r="L90" s="620"/>
      <c r="M90" s="626"/>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2" customFormat="1" hidden="1">
      <c r="A91" s="1" t="s">
        <v>87</v>
      </c>
      <c r="C91" s="726"/>
      <c r="E91" s="726"/>
      <c r="F91" s="625">
        <f>C_SourceStreams!F2113</f>
        <v>22</v>
      </c>
      <c r="G91" s="620" t="str">
        <f>C_SourceStreams!G2113</f>
        <v>netaik.</v>
      </c>
      <c r="H91" s="620" t="str">
        <f>C_SourceStreams!H2113</f>
        <v/>
      </c>
      <c r="I91" s="631" t="str">
        <f>C_SourceStreams!I2113</f>
        <v/>
      </c>
      <c r="J91" s="620"/>
      <c r="K91" s="620"/>
      <c r="L91" s="620"/>
      <c r="M91" s="626"/>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2" customFormat="1" hidden="1">
      <c r="A92" s="1" t="s">
        <v>87</v>
      </c>
      <c r="C92" s="726"/>
      <c r="E92" s="726"/>
      <c r="F92" s="625">
        <f>C_SourceStreams!F2114</f>
        <v>23</v>
      </c>
      <c r="G92" s="620" t="str">
        <f>C_SourceStreams!G2114</f>
        <v>netaik.</v>
      </c>
      <c r="H92" s="620" t="str">
        <f>C_SourceStreams!H2114</f>
        <v/>
      </c>
      <c r="I92" s="631" t="str">
        <f>C_SourceStreams!I2114</f>
        <v/>
      </c>
      <c r="J92" s="620"/>
      <c r="K92" s="620"/>
      <c r="L92" s="620"/>
      <c r="M92" s="626"/>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2" customFormat="1" hidden="1">
      <c r="A93" s="1" t="s">
        <v>87</v>
      </c>
      <c r="C93" s="726"/>
      <c r="E93" s="726"/>
      <c r="F93" s="625">
        <f>C_SourceStreams!F2115</f>
        <v>24</v>
      </c>
      <c r="G93" s="620" t="str">
        <f>C_SourceStreams!G2115</f>
        <v>netaik.</v>
      </c>
      <c r="H93" s="620" t="str">
        <f>C_SourceStreams!H2115</f>
        <v/>
      </c>
      <c r="I93" s="631" t="str">
        <f>C_SourceStreams!I2115</f>
        <v/>
      </c>
      <c r="J93" s="620"/>
      <c r="K93" s="620"/>
      <c r="L93" s="620"/>
      <c r="M93" s="626"/>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2" customFormat="1" hidden="1">
      <c r="A94" s="1" t="s">
        <v>87</v>
      </c>
      <c r="C94" s="726"/>
      <c r="E94" s="726"/>
      <c r="F94" s="625">
        <f>C_SourceStreams!F2116</f>
        <v>25</v>
      </c>
      <c r="G94" s="620" t="str">
        <f>C_SourceStreams!G2116</f>
        <v>netaik.</v>
      </c>
      <c r="H94" s="620" t="str">
        <f>C_SourceStreams!H2116</f>
        <v/>
      </c>
      <c r="I94" s="631" t="str">
        <f>C_SourceStreams!I2116</f>
        <v/>
      </c>
      <c r="J94" s="620"/>
      <c r="K94" s="620"/>
      <c r="L94" s="620"/>
      <c r="M94" s="626"/>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2" customFormat="1" hidden="1">
      <c r="A95" s="1" t="s">
        <v>87</v>
      </c>
      <c r="C95" s="726"/>
      <c r="E95" s="726"/>
      <c r="F95" s="625">
        <f>C_SourceStreams!F2117</f>
        <v>26</v>
      </c>
      <c r="G95" s="620" t="str">
        <f>C_SourceStreams!G2117</f>
        <v>netaik.</v>
      </c>
      <c r="H95" s="620" t="str">
        <f>C_SourceStreams!H2117</f>
        <v/>
      </c>
      <c r="I95" s="631" t="str">
        <f>C_SourceStreams!I2117</f>
        <v/>
      </c>
      <c r="J95" s="620"/>
      <c r="K95" s="620"/>
      <c r="L95" s="620"/>
      <c r="M95" s="626"/>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2" customFormat="1" hidden="1">
      <c r="A96" s="1" t="s">
        <v>87</v>
      </c>
      <c r="C96" s="726"/>
      <c r="E96" s="726"/>
      <c r="F96" s="625">
        <f>C_SourceStreams!F2118</f>
        <v>27</v>
      </c>
      <c r="G96" s="620" t="str">
        <f>C_SourceStreams!G2118</f>
        <v>netaik.</v>
      </c>
      <c r="H96" s="620" t="str">
        <f>C_SourceStreams!H2118</f>
        <v/>
      </c>
      <c r="I96" s="631" t="str">
        <f>C_SourceStreams!I2118</f>
        <v/>
      </c>
      <c r="J96" s="620"/>
      <c r="K96" s="620"/>
      <c r="L96" s="620"/>
      <c r="M96" s="626"/>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2" customFormat="1" hidden="1">
      <c r="A97" s="1" t="s">
        <v>87</v>
      </c>
      <c r="C97" s="726"/>
      <c r="E97" s="726"/>
      <c r="F97" s="625">
        <f>C_SourceStreams!F2119</f>
        <v>28</v>
      </c>
      <c r="G97" s="620" t="str">
        <f>C_SourceStreams!G2119</f>
        <v>netaik.</v>
      </c>
      <c r="H97" s="620" t="str">
        <f>C_SourceStreams!H2119</f>
        <v/>
      </c>
      <c r="I97" s="631" t="str">
        <f>C_SourceStreams!I2119</f>
        <v/>
      </c>
      <c r="J97" s="620"/>
      <c r="K97" s="620"/>
      <c r="L97" s="620"/>
      <c r="M97" s="626"/>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2" customFormat="1" hidden="1">
      <c r="A98" s="1" t="s">
        <v>87</v>
      </c>
      <c r="C98" s="726"/>
      <c r="E98" s="726"/>
      <c r="F98" s="625">
        <f>C_SourceStreams!F2120</f>
        <v>29</v>
      </c>
      <c r="G98" s="620" t="str">
        <f>C_SourceStreams!G2120</f>
        <v>netaik.</v>
      </c>
      <c r="H98" s="620" t="str">
        <f>C_SourceStreams!H2120</f>
        <v/>
      </c>
      <c r="I98" s="631" t="str">
        <f>C_SourceStreams!I2120</f>
        <v/>
      </c>
      <c r="J98" s="620"/>
      <c r="K98" s="620"/>
      <c r="L98" s="620"/>
      <c r="M98" s="626"/>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2" customFormat="1" hidden="1">
      <c r="A99" s="1" t="s">
        <v>87</v>
      </c>
      <c r="C99" s="726"/>
      <c r="E99" s="726"/>
      <c r="F99" s="625">
        <f>C_SourceStreams!F2121</f>
        <v>30</v>
      </c>
      <c r="G99" s="620" t="str">
        <f>C_SourceStreams!G2121</f>
        <v>netaik.</v>
      </c>
      <c r="H99" s="620" t="str">
        <f>C_SourceStreams!H2121</f>
        <v/>
      </c>
      <c r="I99" s="631" t="str">
        <f>C_SourceStreams!I2121</f>
        <v/>
      </c>
      <c r="J99" s="620"/>
      <c r="K99" s="620"/>
      <c r="L99" s="620"/>
      <c r="M99" s="626"/>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2" customFormat="1" hidden="1">
      <c r="A100" s="1"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2" customFormat="1" hidden="1">
      <c r="A101" s="1"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2" customFormat="1" hidden="1">
      <c r="A102" s="1"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2" customFormat="1" hidden="1">
      <c r="A103" s="1"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2" customFormat="1" hidden="1">
      <c r="A104" s="1"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2" customFormat="1" hidden="1">
      <c r="A105" s="1"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2" customFormat="1" hidden="1">
      <c r="A106" s="1"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2" customFormat="1" hidden="1">
      <c r="A107" s="1"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2" customFormat="1" hidden="1">
      <c r="A108" s="1"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2" customFormat="1" hidden="1">
      <c r="A109" s="1"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2" customFormat="1" hidden="1">
      <c r="A110" s="1"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2" customFormat="1" hidden="1">
      <c r="A111" s="1"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2" customFormat="1" hidden="1">
      <c r="A112" s="1"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2" customFormat="1" hidden="1">
      <c r="A113" s="1"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2" customFormat="1" hidden="1">
      <c r="A114" s="1"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2" customFormat="1" hidden="1">
      <c r="A115" s="1"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2" customFormat="1" hidden="1">
      <c r="A116" s="1"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2" customFormat="1" hidden="1">
      <c r="A117" s="1"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2" customFormat="1" hidden="1">
      <c r="A118" s="1"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2" customFormat="1" hidden="1">
      <c r="A119" s="1"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2" customFormat="1" hidden="1">
      <c r="A120" s="1"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2" customFormat="1" hidden="1">
      <c r="A121" s="1"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2" customFormat="1" hidden="1">
      <c r="A122" s="1"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2" customFormat="1" hidden="1">
      <c r="A123" s="1"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2" customFormat="1" hidden="1">
      <c r="A124" s="1"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2" customFormat="1" hidden="1">
      <c r="A125" s="1"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2" customFormat="1" hidden="1">
      <c r="A126" s="1"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2" customFormat="1" hidden="1">
      <c r="A127" s="1"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2" customFormat="1" hidden="1">
      <c r="A128" s="1"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2" customFormat="1" hidden="1">
      <c r="A129" s="1"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2" customFormat="1" hidden="1">
      <c r="A130" s="1"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2" customFormat="1" hidden="1">
      <c r="A131" s="1"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2" customFormat="1" hidden="1">
      <c r="A132" s="1"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2" customFormat="1" hidden="1">
      <c r="A133" s="1"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2" customFormat="1" hidden="1">
      <c r="A134" s="1"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2" customFormat="1" hidden="1">
      <c r="A135" s="1"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2" customFormat="1" hidden="1">
      <c r="A136" s="1"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2" customFormat="1" hidden="1">
      <c r="A137" s="1"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2" customFormat="1" hidden="1">
      <c r="A138" s="1"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2" customFormat="1" hidden="1">
      <c r="A139" s="1"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2" customFormat="1" hidden="1">
      <c r="A140" s="1"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2" customFormat="1" hidden="1">
      <c r="A141" s="1"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2" customFormat="1" hidden="1">
      <c r="A142" s="1"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2" customFormat="1" hidden="1">
      <c r="A143" s="1"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2" customFormat="1" ht="13.5" hidden="1" thickBot="1">
      <c r="A144" s="1"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c r="A148" s="47"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2" customFormat="1" hidden="1">
      <c r="A149" s="1"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2" customFormat="1" hidden="1">
      <c r="A150" s="1"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2" customFormat="1" hidden="1">
      <c r="A151" s="1"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2" customFormat="1" hidden="1">
      <c r="A152" s="1"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2" customFormat="1" hidden="1">
      <c r="A153" s="1"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2" customFormat="1" hidden="1">
      <c r="A154" s="1"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2" customFormat="1" hidden="1">
      <c r="A155" s="1"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2" customFormat="1" hidden="1">
      <c r="A156" s="1"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2" customFormat="1" hidden="1">
      <c r="A157" s="1"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2" customFormat="1" ht="13.5" hidden="1" thickBot="1">
      <c r="A158" s="1"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c r="A161" s="1" t="s">
        <v>87</v>
      </c>
      <c r="C161" s="495"/>
      <c r="D161" s="141"/>
      <c r="E161" s="49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c r="A162" s="1" t="s">
        <v>87</v>
      </c>
      <c r="C162" s="495"/>
      <c r="D162" s="141"/>
      <c r="E162" s="49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c r="A163" s="1" t="s">
        <v>87</v>
      </c>
      <c r="C163" s="495"/>
      <c r="D163" s="141"/>
      <c r="E163" s="495"/>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J44:M44"/>
    <mergeCell ref="D45:G45"/>
    <mergeCell ref="J45:M45"/>
    <mergeCell ref="C6:K6"/>
    <mergeCell ref="E10:N10"/>
    <mergeCell ref="F11:N11"/>
    <mergeCell ref="F13:N13"/>
    <mergeCell ref="F12:N12"/>
    <mergeCell ref="F15:N15"/>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4:E15"/>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20:G20"/>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SourceCategory</vt:lpstr>
      <vt:lpstr>SourceCategoryCEMS</vt:lpstr>
      <vt:lpstr>'A_Operator&amp;Inst.ID'!Spausdinimo_sritis</vt:lpstr>
      <vt:lpstr>'b_Guidelines and conditions'!Spausdinimo_sritis</vt:lpstr>
      <vt:lpstr>B_InstallationDescription!Spausdinimo_sritis</vt:lpstr>
      <vt:lpstr>'E_Fall-backApproach'!Spausdinimo_sritis</vt:lpstr>
      <vt:lpstr>G_DataGaps!Spausdinimo_sritis</vt:lpstr>
      <vt:lpstr>H_AdditionalInformation!Spausdinimo_sritis</vt:lpstr>
      <vt:lpstr>I_Summary!Spausdinimo_sritis</vt:lpstr>
      <vt:lpstr>J_Accounting!Spausdinimo_sritis</vt:lpstr>
      <vt:lpstr>VersionDocumentation!Spausdinimo_sritis</vt:lpstr>
      <vt:lpstr>SpecifiedEmissions2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Edgaras</cp:lastModifiedBy>
  <cp:lastPrinted>2016-02-10T10:22:03Z</cp:lastPrinted>
  <dcterms:created xsi:type="dcterms:W3CDTF">2008-05-26T08:52:55Z</dcterms:created>
  <dcterms:modified xsi:type="dcterms:W3CDTF">2016-02-12T10:46:10Z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